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D:\##IDM\"/>
    </mc:Choice>
  </mc:AlternateContent>
  <xr:revisionPtr revIDLastSave="0" documentId="13_ncr:1_{EA557568-93A0-4EB7-9135-EFE848DCB8C6}" xr6:coauthVersionLast="47" xr6:coauthVersionMax="47" xr10:uidLastSave="{00000000-0000-0000-0000-000000000000}"/>
  <bookViews>
    <workbookView xWindow="-120" yWindow="-120" windowWidth="20730" windowHeight="11040" tabRatio="880" activeTab="1" xr2:uid="{00000000-000D-0000-FFFF-FFFF00000000}"/>
  </bookViews>
  <sheets>
    <sheet name="PERSETUJUAN" sheetId="1" r:id="rId1"/>
    <sheet name="INPUTAN DESA ...." sheetId="2" r:id="rId2"/>
    <sheet name="ISU DESA dan PERDESAAN" sheetId="5" r:id="rId3"/>
    <sheet name="RUMUSAN" sheetId="4" r:id="rId4"/>
  </sheets>
  <definedNames>
    <definedName name="_xlnm._FilterDatabase" localSheetId="1" hidden="1">'INPUTAN DESA ....'!$A$4:$V$648</definedName>
    <definedName name="_xlnm._FilterDatabase" localSheetId="2" hidden="1">'ISU DESA dan PERDESAAN'!$A$4:$V$4</definedName>
    <definedName name="ada">'INPUTAN DESA ....'!$H$112</definedName>
    <definedName name="adaangkot">'ISU DESA dan PERDESAAN'!$H$995:$H$997</definedName>
    <definedName name="adatidak">'INPUTAN DESA ....'!$H$112:$H$113</definedName>
    <definedName name="ae">'INPUTAN DESA ....'!$H$415:$H$419</definedName>
    <definedName name="agama">'ISU DESA dan PERDESAAN'!$H$693:$H$699</definedName>
    <definedName name="aktiftidak">'ISU DESA dan PERDESAAN'!$H$534:$H$535</definedName>
    <definedName name="anggaran">'ISU DESA dan PERDESAAN'!$I$1422:$I$1426</definedName>
    <definedName name="belum">'ISU DESA dan PERDESAAN'!$H$663</definedName>
    <definedName name="bencana">'INPUTAN DESA ....'!$H$505:$H$514</definedName>
    <definedName name="biayainternet">'ISU DESA dan PERDESAAN'!$H$667:$H$671</definedName>
    <definedName name="bidan">'INPUTAN DESA ....'!$H$275:$H$276</definedName>
    <definedName name="bpjs">'INPUTAN DESA ....'!$H$298:$H$299</definedName>
    <definedName name="buah">'ISU DESA dan PERDESAAN'!$I$822:$I$854</definedName>
    <definedName name="bumdes">'ISU DESA dan PERDESAAN'!$I$1245:$I$1247</definedName>
    <definedName name="danaposyandu">'ISU DESA dan PERDESAAN'!$H$524:$H$527</definedName>
    <definedName name="diisi">'INPUTAN DESA ....'!$H$54:$H$55</definedName>
    <definedName name="domestikekspor">'ISU DESA dan PERDESAAN'!$H$411:$H$412</definedName>
    <definedName name="duaempat">'ISU DESA dan PERDESAAN'!$H$996:$H$998</definedName>
    <definedName name="duaempatlima">'INPUTAN DESA ....'!$H$563:$H$565</definedName>
    <definedName name="dualima">'ISU DESA dan PERDESAAN'!$H$996:$H$999</definedName>
    <definedName name="f">'INPUTAN DESA ....'!$H$420</definedName>
    <definedName name="garam">'ISU DESA dan PERDESAAN'!$H$461:$H$466</definedName>
    <definedName name="internet">'ISU DESA dan PERDESAAN'!$H$615:$H$618</definedName>
    <definedName name="jabataninforman">'INPUTAN DESA ....'!$H$22:$H$30</definedName>
    <definedName name="jalanrusak">'ISU DESA dan PERDESAAN'!$H$191:$H$195</definedName>
    <definedName name="jalanwisata">'ISU DESA dan PERDESAAN'!$H$186:$H$189</definedName>
    <definedName name="jarakwisata">'ISU DESA dan PERDESAAN'!$H$182:$H$184</definedName>
    <definedName name="jaringan">'ISU DESA dan PERDESAAN'!$H$649:$H$660</definedName>
    <definedName name="jembatan">'ISU DESA dan PERDESAAN'!$H$1364:$H$1366</definedName>
    <definedName name="jenisprogram">'ISU DESA dan PERDESAAN'!$I$1418:$I$1420</definedName>
    <definedName name="jenisprogram1">'ISU DESA dan PERDESAAN'!$I$1419:$I$1420</definedName>
    <definedName name="k5ratus">'ISU DESA dan PERDESAAN'!$H$190:$H$192</definedName>
    <definedName name="Kades">'INPUTAN DESA ....'!$H$32:$H$33</definedName>
    <definedName name="kebun">'ISU DESA dan PERDESAAN'!$H$331:$H$338</definedName>
    <definedName name="kejahatan">'ISU DESA dan PERDESAAN'!$H$736:$H$744</definedName>
    <definedName name="kelamin">'INPUTAN DESA ....'!$H$19:$H$20</definedName>
    <definedName name="kelolawisata">'ISU DESA dan PERDESAAN'!$H$170:$H$178</definedName>
    <definedName name="kl">'ISU DESA dan PERDESAAN'!$I$1428:$I$1472</definedName>
    <definedName name="kosong">'INPUTAN DESA ....'!$H$15</definedName>
    <definedName name="kuat">'INPUTAN DESA ....'!$H$564:$H$565</definedName>
    <definedName name="L5ratus">'ISU DESA dan PERDESAAN'!$H$190:$H$195</definedName>
    <definedName name="lemah">'INPUTAN DESA ....'!$H$562:$H$564</definedName>
    <definedName name="lima">'INPUTAN DESA ....'!$H$262</definedName>
    <definedName name="limadua">'INPUTAN DESA ....'!$H$242:$H$245</definedName>
    <definedName name="mitra">'ISU DESA dan PERDESAAN'!$I$1245:$I$1246</definedName>
    <definedName name="nol">'ISU DESA dan PERDESAAN'!$H$75</definedName>
    <definedName name="noldua">'ISU DESA dan PERDESAAN'!$H$104:$H$106</definedName>
    <definedName name="nollima">'ISU DESA dan PERDESAAN'!$H$109:$H$114</definedName>
    <definedName name="nolsatu">'ISU DESA dan PERDESAAN'!$H$75:$H$76</definedName>
    <definedName name="noltiga">'ISU DESA dan PERDESAAN'!$H$109:$H$112</definedName>
    <definedName name="nonpln">'ISU DESA dan PERDESAAN'!$H$632:$H$634</definedName>
    <definedName name="obat">'ISU DESA dan PERDESAAN'!$I$939:$I$960</definedName>
    <definedName name="optimal">'ISU DESA dan PERDESAAN'!$H$100:$H$102</definedName>
    <definedName name="pangan">'ISU DESA dan PERDESAAN'!$I$781:$I$800</definedName>
    <definedName name="paud">'INPUTAN DESA ....'!$H$165:$H$167</definedName>
    <definedName name="paudpemerintah">'INPUTAN DESA ....'!$H$170:$H$172</definedName>
    <definedName name="paudpemerintahswasta">'INPUTAN DESA ....'!$H$163:$H$164</definedName>
    <definedName name="pedagang">'ISU DESA dan PERDESAAN'!$H$1050:$H$1053</definedName>
    <definedName name="Pemuda">'ISU DESA dan PERDESAAN'!$H$63:$H$69</definedName>
    <definedName name="pendampingan">'ISU DESA dan PERDESAAN'!$H$94:$H$98</definedName>
    <definedName name="penyedia">'INPUTAN DESA ....'!$H$186:$H$191</definedName>
    <definedName name="perangkatdesa">'INPUTAN DESA ....'!$H$11:$H$14</definedName>
    <definedName name="periodekades">'ISU DESA dan PERDESAAN'!$H$9:$H$11</definedName>
    <definedName name="PerluTidakperlu">'ISU DESA dan PERDESAAN'!$H$1514:$H$1515</definedName>
    <definedName name="pustu">'INPUTAN DESA ....'!$H$233:$H$234</definedName>
    <definedName name="rumah">'ISU DESA dan PERDESAAN'!$H$677:$H$679</definedName>
    <definedName name="satu">'ISU DESA dan PERDESAAN'!$H$76</definedName>
    <definedName name="satudanlima">'INPUTAN DESA ....'!$H$256:$H$257</definedName>
    <definedName name="satudua">'ISU DESA dan PERDESAAN'!$H$105:$H$106</definedName>
    <definedName name="satuduatiga">'ISU DESA dan PERDESAAN'!$H$110:$H$112</definedName>
    <definedName name="satuenam">'ISU DESA dan PERDESAAN'!$H$995:$H$1000</definedName>
    <definedName name="satulebihdua">'ISU DESA dan PERDESAAN'!$H$104:$H$107</definedName>
    <definedName name="satulima">'ISU DESA dan PERDESAAN'!$H$76:$H$80</definedName>
    <definedName name="satutiga">'INPUTAN DESA ....'!$I$313:$I$314</definedName>
    <definedName name="satutigalima">'INPUTAN DESA ....'!$H$260:$H$262</definedName>
    <definedName name="satutujuh">'ISU DESA dan PERDESAAN'!$H$995:$H$1001</definedName>
    <definedName name="sayur">'ISU DESA dan PERDESAAN'!$I$890:$I$913</definedName>
    <definedName name="sediasarkes">'INPUTAN DESA ....'!$H$268:$H$273</definedName>
    <definedName name="sosialisasitik">'ISU DESA dan PERDESAAN'!$H$665:$H$666</definedName>
    <definedName name="strip">'INPUTAN DESA ....'!$H$10</definedName>
    <definedName name="sudahbelum">'ISU DESA dan PERDESAAN'!$H$662:$H$663</definedName>
    <definedName name="swastamasyarakat">'INPUTAN DESA ....'!$H$166:$H$168</definedName>
    <definedName name="tamatpendidikan">'ISU DESA dan PERDESAAN'!$H$109:$H$117</definedName>
    <definedName name="tambang">'ISU DESA dan PERDESAAN'!$H$340:$H$345</definedName>
    <definedName name="tanggal">'INPUTAN DESA ....'!$H$34:$H$46</definedName>
    <definedName name="tidakada">'INPUTAN DESA ....'!$H$113</definedName>
    <definedName name="tidakaktif">'ISU DESA dan PERDESAAN'!$H$535</definedName>
    <definedName name="tidakdiisi">'INPUTAN DESA ....'!$H$55</definedName>
    <definedName name="tidakperlu">'ISU DESA dan PERDESAAN'!$H$1515</definedName>
    <definedName name="tiga">'INPUTAN DESA ....'!$H$542</definedName>
    <definedName name="tigalima">'INPUTAN DESA ....'!$H$332:$H$333</definedName>
    <definedName name="titik">'ISU DESA dan PERDESAAN'!$H$644:$H$647</definedName>
    <definedName name="tradisional">'ISU DESA dan PERDESAAN'!$H$452:$H$454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14" i="5" l="1"/>
  <c r="F1409" i="5"/>
  <c r="F1404" i="5"/>
  <c r="F559" i="5"/>
  <c r="J571" i="2"/>
  <c r="K571" i="2" s="1"/>
  <c r="J570" i="2"/>
  <c r="K570" i="2"/>
  <c r="J568" i="2"/>
  <c r="J542" i="2"/>
  <c r="J541" i="2"/>
  <c r="K541" i="2" s="1"/>
  <c r="J538" i="2"/>
  <c r="J537" i="2"/>
  <c r="K537" i="2" s="1"/>
  <c r="J535" i="2"/>
  <c r="K535" i="2" s="1"/>
  <c r="J529" i="2"/>
  <c r="K529" i="2" s="1"/>
  <c r="J525" i="2"/>
  <c r="K525" i="2" s="1"/>
  <c r="J524" i="2"/>
  <c r="K524" i="2"/>
  <c r="J522" i="2"/>
  <c r="K522" i="2" s="1"/>
  <c r="J521" i="2"/>
  <c r="K521" i="2" s="1"/>
  <c r="J520" i="2"/>
  <c r="K520" i="2" s="1"/>
  <c r="J516" i="2"/>
  <c r="K516" i="2" s="1"/>
  <c r="J502" i="2"/>
  <c r="K502" i="2" s="1"/>
  <c r="J501" i="2"/>
  <c r="J500" i="2"/>
  <c r="K500" i="2" s="1"/>
  <c r="J498" i="2"/>
  <c r="K498" i="2" s="1"/>
  <c r="J491" i="2"/>
  <c r="K491" i="2" s="1"/>
  <c r="J490" i="2"/>
  <c r="K490" i="2" s="1"/>
  <c r="J489" i="2"/>
  <c r="K489" i="2" s="1"/>
  <c r="J486" i="2"/>
  <c r="K486" i="2" s="1"/>
  <c r="J484" i="2"/>
  <c r="K484" i="2" s="1"/>
  <c r="J481" i="2"/>
  <c r="K481" i="2" s="1"/>
  <c r="J477" i="2"/>
  <c r="K477" i="2" s="1"/>
  <c r="J476" i="2"/>
  <c r="K476" i="2" s="1"/>
  <c r="J474" i="2"/>
  <c r="K474" i="2" s="1"/>
  <c r="J469" i="2"/>
  <c r="K469" i="2" s="1"/>
  <c r="J468" i="2"/>
  <c r="K468" i="2" s="1"/>
  <c r="J467" i="2"/>
  <c r="K467" i="2" s="1"/>
  <c r="J466" i="2"/>
  <c r="K466" i="2" s="1"/>
  <c r="J463" i="2"/>
  <c r="J462" i="2"/>
  <c r="K462" i="2" s="1"/>
  <c r="J460" i="2"/>
  <c r="J459" i="2"/>
  <c r="J458" i="2"/>
  <c r="K458" i="2" s="1"/>
  <c r="J457" i="2"/>
  <c r="J454" i="2"/>
  <c r="K454" i="2" s="1"/>
  <c r="J453" i="2"/>
  <c r="J450" i="2"/>
  <c r="K450" i="2"/>
  <c r="J447" i="2"/>
  <c r="K447" i="2" s="1"/>
  <c r="J446" i="2"/>
  <c r="K446" i="2" s="1"/>
  <c r="J445" i="2"/>
  <c r="K445" i="2" s="1"/>
  <c r="J444" i="2"/>
  <c r="K444" i="2" s="1"/>
  <c r="J441" i="2"/>
  <c r="K441" i="2" s="1"/>
  <c r="J440" i="2"/>
  <c r="K440" i="2" s="1"/>
  <c r="J439" i="2"/>
  <c r="K439" i="2" s="1"/>
  <c r="J438" i="2"/>
  <c r="K438" i="2" s="1"/>
  <c r="J435" i="2"/>
  <c r="K435" i="2" s="1"/>
  <c r="J434" i="2"/>
  <c r="K434" i="2" s="1"/>
  <c r="J433" i="2"/>
  <c r="K433" i="2" s="1"/>
  <c r="J432" i="2"/>
  <c r="K432" i="2" s="1"/>
  <c r="J429" i="2"/>
  <c r="K429" i="2" s="1"/>
  <c r="J428" i="2"/>
  <c r="K428" i="2" s="1"/>
  <c r="J427" i="2"/>
  <c r="K427" i="2" s="1"/>
  <c r="J426" i="2"/>
  <c r="K426" i="2" s="1"/>
  <c r="J422" i="2"/>
  <c r="K422" i="2" s="1"/>
  <c r="J421" i="2"/>
  <c r="K421" i="2" s="1"/>
  <c r="J423" i="2"/>
  <c r="K423" i="2" s="1"/>
  <c r="J419" i="2"/>
  <c r="K419" i="2" s="1"/>
  <c r="J415" i="2"/>
  <c r="J414" i="2"/>
  <c r="K414" i="2" s="1"/>
  <c r="J412" i="2"/>
  <c r="K412" i="2" s="1"/>
  <c r="J411" i="2"/>
  <c r="K411" i="2" s="1"/>
  <c r="J408" i="2"/>
  <c r="K408" i="2" s="1"/>
  <c r="J406" i="2" l="1"/>
  <c r="J405" i="2"/>
  <c r="J404" i="2"/>
  <c r="K404" i="2" s="1"/>
  <c r="J402" i="2"/>
  <c r="K402" i="2"/>
  <c r="J401" i="2"/>
  <c r="K401" i="2"/>
  <c r="J397" i="2"/>
  <c r="K397" i="2" s="1"/>
  <c r="J396" i="2"/>
  <c r="K396" i="2" s="1"/>
  <c r="J395" i="2"/>
  <c r="K395" i="2" s="1"/>
  <c r="J393" i="2"/>
  <c r="K393" i="2" s="1"/>
  <c r="J392" i="2"/>
  <c r="K392" i="2" s="1"/>
  <c r="J391" i="2"/>
  <c r="K391" i="2" s="1"/>
  <c r="J387" i="2"/>
  <c r="K387" i="2" s="1"/>
  <c r="J386" i="2"/>
  <c r="K386" i="2" s="1"/>
  <c r="J385" i="2"/>
  <c r="K385" i="2" s="1"/>
  <c r="J384" i="2"/>
  <c r="K384" i="2" s="1"/>
  <c r="J383" i="2"/>
  <c r="K383" i="2" s="1"/>
  <c r="J382" i="2"/>
  <c r="K382" i="2" s="1"/>
  <c r="J381" i="2"/>
  <c r="K381" i="2" s="1"/>
  <c r="J380" i="2"/>
  <c r="K380" i="2" s="1"/>
  <c r="J379" i="2"/>
  <c r="K379" i="2" s="1"/>
  <c r="J376" i="2"/>
  <c r="J375" i="2"/>
  <c r="K375" i="2" s="1"/>
  <c r="J372" i="2"/>
  <c r="J371" i="2"/>
  <c r="K371" i="2" s="1"/>
  <c r="J365" i="2"/>
  <c r="K365" i="2"/>
  <c r="J369" i="2"/>
  <c r="K369" i="2" s="1"/>
  <c r="J368" i="2"/>
  <c r="K368" i="2" s="1"/>
  <c r="J367" i="2"/>
  <c r="K367" i="2" s="1"/>
  <c r="J366" i="2"/>
  <c r="K366" i="2" s="1"/>
  <c r="J346" i="2"/>
  <c r="K346" i="2" s="1"/>
  <c r="J345" i="2"/>
  <c r="K345" i="2" s="1"/>
  <c r="J344" i="2"/>
  <c r="K344" i="2" s="1"/>
  <c r="J343" i="2"/>
  <c r="K343" i="2" s="1"/>
  <c r="J342" i="2"/>
  <c r="K342" i="2" s="1"/>
  <c r="J341" i="2"/>
  <c r="K341" i="2" s="1"/>
  <c r="J340" i="2"/>
  <c r="K340" i="2" s="1"/>
  <c r="J339" i="2"/>
  <c r="K339" i="2" s="1"/>
  <c r="J336" i="2"/>
  <c r="J335" i="2"/>
  <c r="J330" i="2"/>
  <c r="K330" i="2" s="1"/>
  <c r="J327" i="2"/>
  <c r="K327" i="2" s="1"/>
  <c r="J325" i="2"/>
  <c r="K325" i="2" s="1"/>
  <c r="J318" i="2"/>
  <c r="K318" i="2"/>
  <c r="J316" i="2"/>
  <c r="J313" i="2"/>
  <c r="K313" i="2" s="1"/>
  <c r="J304" i="2"/>
  <c r="K304" i="2" s="1"/>
  <c r="J294" i="2"/>
  <c r="J293" i="2"/>
  <c r="J292" i="2"/>
  <c r="J281" i="2"/>
  <c r="J280" i="2"/>
  <c r="J290" i="2"/>
  <c r="K290" i="2" s="1"/>
  <c r="J273" i="2"/>
  <c r="K273" i="2" s="1"/>
  <c r="J264" i="2"/>
  <c r="J263" i="2"/>
  <c r="J265" i="2"/>
  <c r="K265" i="2" s="1"/>
  <c r="J255" i="2"/>
  <c r="K255" i="2" s="1"/>
  <c r="J241" i="2"/>
  <c r="K241" i="2" s="1"/>
  <c r="J240" i="2"/>
  <c r="K240" i="2" s="1"/>
  <c r="J245" i="2"/>
  <c r="K245" i="2" s="1"/>
  <c r="J244" i="2"/>
  <c r="K244" i="2" s="1"/>
  <c r="J243" i="2"/>
  <c r="K243" i="2" s="1"/>
  <c r="J237" i="2"/>
  <c r="K237" i="2" s="1"/>
  <c r="J236" i="2"/>
  <c r="K236" i="2" s="1"/>
  <c r="J235" i="2"/>
  <c r="K235" i="2" s="1"/>
  <c r="J233" i="2"/>
  <c r="K233" i="2" s="1"/>
  <c r="J175" i="2"/>
  <c r="K175" i="2" s="1"/>
  <c r="J186" i="2"/>
  <c r="K186" i="2" s="1"/>
  <c r="J197" i="2"/>
  <c r="K197" i="2" s="1"/>
  <c r="J208" i="2"/>
  <c r="K208" i="2" s="1"/>
  <c r="J224" i="2"/>
  <c r="K224" i="2" s="1"/>
  <c r="J223" i="2"/>
  <c r="K223" i="2" s="1"/>
  <c r="J207" i="2"/>
  <c r="K207" i="2" s="1"/>
  <c r="J206" i="2"/>
  <c r="K206" i="2" s="1"/>
  <c r="J196" i="2"/>
  <c r="K196" i="2" s="1"/>
  <c r="J195" i="2"/>
  <c r="K195" i="2" s="1"/>
  <c r="J185" i="2"/>
  <c r="K185" i="2" s="1"/>
  <c r="J184" i="2"/>
  <c r="K184" i="2" s="1"/>
  <c r="J174" i="2"/>
  <c r="K174" i="2" s="1"/>
  <c r="J173" i="2"/>
  <c r="K173" i="2" s="1"/>
  <c r="J154" i="2"/>
  <c r="K154" i="2" s="1"/>
  <c r="J153" i="2"/>
  <c r="K153" i="2" s="1"/>
  <c r="J152" i="2"/>
  <c r="K152" i="2" s="1"/>
  <c r="J151" i="2"/>
  <c r="K151" i="2" s="1"/>
  <c r="J156" i="2"/>
  <c r="K156" i="2" s="1"/>
  <c r="J145" i="2"/>
  <c r="K145" i="2" s="1"/>
  <c r="J136" i="2"/>
  <c r="K136" i="2" s="1"/>
  <c r="J109" i="2"/>
  <c r="K109" i="2" s="1"/>
  <c r="J105" i="2"/>
  <c r="K105" i="2" s="1"/>
  <c r="J102" i="2"/>
  <c r="K102" i="2" s="1"/>
  <c r="J101" i="2"/>
  <c r="K101" i="2" s="1"/>
  <c r="J100" i="2"/>
  <c r="K100" i="2" s="1"/>
  <c r="J99" i="2"/>
  <c r="K99" i="2" s="1"/>
  <c r="J50" i="2"/>
  <c r="K50" i="2" s="1"/>
  <c r="J997" i="5"/>
  <c r="K997" i="5" s="1"/>
  <c r="J996" i="5"/>
  <c r="J1000" i="5"/>
  <c r="K1000" i="5" s="1"/>
  <c r="J999" i="5"/>
  <c r="K999" i="5" s="1"/>
  <c r="J998" i="5"/>
  <c r="K998" i="5" s="1"/>
  <c r="K725" i="5"/>
  <c r="J832" i="5"/>
  <c r="K832" i="5" s="1"/>
  <c r="J849" i="5"/>
  <c r="K849" i="5" s="1"/>
  <c r="J926" i="5"/>
  <c r="K926" i="5" s="1"/>
  <c r="J980" i="5"/>
  <c r="K980" i="5" s="1"/>
  <c r="J978" i="5"/>
  <c r="K978" i="5" s="1"/>
  <c r="J976" i="5"/>
  <c r="K976" i="5" s="1"/>
  <c r="J974" i="5"/>
  <c r="K974" i="5" s="1"/>
  <c r="J972" i="5"/>
  <c r="K972" i="5" s="1"/>
  <c r="J970" i="5"/>
  <c r="K970" i="5" s="1"/>
  <c r="J968" i="5"/>
  <c r="K968" i="5" s="1"/>
  <c r="J966" i="5"/>
  <c r="K966" i="5" s="1"/>
  <c r="J964" i="5"/>
  <c r="K964" i="5" s="1"/>
  <c r="J962" i="5"/>
  <c r="K962" i="5" s="1"/>
  <c r="J960" i="5"/>
  <c r="K960" i="5" s="1"/>
  <c r="J958" i="5"/>
  <c r="K958" i="5" s="1"/>
  <c r="J956" i="5"/>
  <c r="K956" i="5" s="1"/>
  <c r="J954" i="5"/>
  <c r="K954" i="5" s="1"/>
  <c r="J952" i="5"/>
  <c r="K952" i="5" s="1"/>
  <c r="J950" i="5"/>
  <c r="K950" i="5" s="1"/>
  <c r="J948" i="5"/>
  <c r="K948" i="5" s="1"/>
  <c r="J946" i="5"/>
  <c r="K946" i="5" s="1"/>
  <c r="J944" i="5"/>
  <c r="K944" i="5" s="1"/>
  <c r="J942" i="5"/>
  <c r="K942" i="5" s="1"/>
  <c r="J940" i="5"/>
  <c r="K940" i="5" s="1"/>
  <c r="J936" i="5"/>
  <c r="K936" i="5" s="1"/>
  <c r="J934" i="5"/>
  <c r="K934" i="5" s="1"/>
  <c r="J932" i="5"/>
  <c r="K932" i="5" s="1"/>
  <c r="J930" i="5"/>
  <c r="K930" i="5" s="1"/>
  <c r="J928" i="5"/>
  <c r="K928" i="5" s="1"/>
  <c r="J925" i="5"/>
  <c r="K925" i="5" s="1"/>
  <c r="J923" i="5"/>
  <c r="K923" i="5" s="1"/>
  <c r="J921" i="5"/>
  <c r="K921" i="5" s="1"/>
  <c r="J919" i="5"/>
  <c r="K919" i="5" s="1"/>
  <c r="J917" i="5"/>
  <c r="K917" i="5" s="1"/>
  <c r="J915" i="5"/>
  <c r="K915" i="5" s="1"/>
  <c r="J913" i="5"/>
  <c r="K913" i="5" s="1"/>
  <c r="J911" i="5"/>
  <c r="K911" i="5" s="1"/>
  <c r="J909" i="5"/>
  <c r="K909" i="5" s="1"/>
  <c r="J907" i="5"/>
  <c r="K907" i="5" s="1"/>
  <c r="J905" i="5"/>
  <c r="K905" i="5" s="1"/>
  <c r="J903" i="5"/>
  <c r="K903" i="5" s="1"/>
  <c r="J901" i="5"/>
  <c r="K901" i="5" s="1"/>
  <c r="J899" i="5"/>
  <c r="K899" i="5" s="1"/>
  <c r="J897" i="5"/>
  <c r="K897" i="5" s="1"/>
  <c r="J895" i="5"/>
  <c r="K895" i="5" s="1"/>
  <c r="J893" i="5"/>
  <c r="K893" i="5" s="1"/>
  <c r="J891" i="5"/>
  <c r="K891" i="5" s="1"/>
  <c r="J887" i="5"/>
  <c r="K887" i="5" s="1"/>
  <c r="J885" i="5"/>
  <c r="K885" i="5" s="1"/>
  <c r="J883" i="5"/>
  <c r="K883" i="5" s="1"/>
  <c r="J881" i="5"/>
  <c r="K881" i="5" s="1"/>
  <c r="J879" i="5"/>
  <c r="K879" i="5" s="1"/>
  <c r="J877" i="5"/>
  <c r="K877" i="5" s="1"/>
  <c r="J875" i="5"/>
  <c r="K875" i="5" s="1"/>
  <c r="J873" i="5"/>
  <c r="K873" i="5" s="1"/>
  <c r="J871" i="5"/>
  <c r="K871" i="5" s="1"/>
  <c r="J869" i="5"/>
  <c r="K869" i="5" s="1"/>
  <c r="J867" i="5"/>
  <c r="K867" i="5" s="1"/>
  <c r="J865" i="5"/>
  <c r="K865" i="5" s="1"/>
  <c r="J863" i="5"/>
  <c r="K863" i="5" s="1"/>
  <c r="J861" i="5"/>
  <c r="K861" i="5" s="1"/>
  <c r="J859" i="5"/>
  <c r="K859" i="5" s="1"/>
  <c r="J857" i="5"/>
  <c r="K857" i="5" s="1"/>
  <c r="J855" i="5"/>
  <c r="K855" i="5" s="1"/>
  <c r="J853" i="5"/>
  <c r="K853" i="5" s="1"/>
  <c r="J851" i="5"/>
  <c r="K851" i="5" s="1"/>
  <c r="J848" i="5"/>
  <c r="K848" i="5" s="1"/>
  <c r="J846" i="5"/>
  <c r="K846" i="5" s="1"/>
  <c r="J844" i="5"/>
  <c r="K844" i="5" s="1"/>
  <c r="J842" i="5"/>
  <c r="K842" i="5" s="1"/>
  <c r="J840" i="5"/>
  <c r="K840" i="5" s="1"/>
  <c r="J838" i="5"/>
  <c r="K838" i="5" s="1"/>
  <c r="J836" i="5"/>
  <c r="K836" i="5" s="1"/>
  <c r="J834" i="5"/>
  <c r="K834" i="5" s="1"/>
  <c r="J818" i="5"/>
  <c r="K818" i="5" s="1"/>
  <c r="J816" i="5"/>
  <c r="K816" i="5" s="1"/>
  <c r="J814" i="5"/>
  <c r="K814" i="5" s="1"/>
  <c r="J812" i="5"/>
  <c r="K812" i="5" s="1"/>
  <c r="J810" i="5"/>
  <c r="K810" i="5" s="1"/>
  <c r="J808" i="5"/>
  <c r="K808" i="5" s="1"/>
  <c r="J806" i="5"/>
  <c r="K806" i="5" s="1"/>
  <c r="J804" i="5"/>
  <c r="K804" i="5" s="1"/>
  <c r="J802" i="5"/>
  <c r="K802" i="5" s="1"/>
  <c r="K800" i="5"/>
  <c r="J800" i="5"/>
  <c r="J798" i="5"/>
  <c r="K798" i="5" s="1"/>
  <c r="J796" i="5"/>
  <c r="K796" i="5" s="1"/>
  <c r="J794" i="5"/>
  <c r="K794" i="5" s="1"/>
  <c r="J792" i="5"/>
  <c r="K792" i="5" s="1"/>
  <c r="J790" i="5"/>
  <c r="K790" i="5" s="1"/>
  <c r="J788" i="5"/>
  <c r="K788" i="5" s="1"/>
  <c r="J786" i="5"/>
  <c r="K786" i="5" s="1"/>
  <c r="J784" i="5"/>
  <c r="K784" i="5" s="1"/>
  <c r="J782" i="5"/>
  <c r="K782" i="5" s="1"/>
  <c r="J831" i="5"/>
  <c r="K831" i="5" s="1"/>
  <c r="J829" i="5"/>
  <c r="K829" i="5" s="1"/>
  <c r="J827" i="5"/>
  <c r="K827" i="5" s="1"/>
  <c r="J825" i="5"/>
  <c r="K825" i="5" s="1"/>
  <c r="J823" i="5"/>
  <c r="K823" i="5" s="1"/>
  <c r="J981" i="5"/>
  <c r="K981" i="5" s="1"/>
  <c r="J937" i="5"/>
  <c r="K937" i="5" s="1"/>
  <c r="J888" i="5"/>
  <c r="K888" i="5" s="1"/>
  <c r="J819" i="5"/>
  <c r="K819" i="5" s="1"/>
  <c r="J750" i="5"/>
  <c r="K750" i="5" s="1"/>
  <c r="J749" i="5"/>
  <c r="K749" i="5" s="1"/>
  <c r="J731" i="5"/>
  <c r="K731" i="5" s="1"/>
  <c r="J730" i="5"/>
  <c r="J729" i="5"/>
  <c r="K729" i="5" s="1"/>
  <c r="J728" i="5"/>
  <c r="K728" i="5" s="1"/>
  <c r="J727" i="5"/>
  <c r="K727" i="5" s="1"/>
  <c r="J726" i="5"/>
  <c r="K726" i="5" s="1"/>
  <c r="J725" i="5"/>
  <c r="J724" i="5"/>
  <c r="K724" i="5" s="1"/>
  <c r="J723" i="5"/>
  <c r="K723" i="5" s="1"/>
  <c r="J700" i="5"/>
  <c r="F574" i="5"/>
  <c r="F570" i="5"/>
  <c r="F567" i="5"/>
  <c r="F563" i="5"/>
  <c r="F555" i="5"/>
  <c r="F551" i="5"/>
  <c r="F547" i="5"/>
  <c r="F543" i="5"/>
  <c r="F539" i="5"/>
  <c r="H512" i="5"/>
  <c r="H511" i="5"/>
  <c r="F511" i="5"/>
  <c r="J408" i="5"/>
  <c r="J382" i="5"/>
  <c r="K382" i="5" s="1"/>
  <c r="J362" i="5"/>
  <c r="K362" i="5" s="1"/>
  <c r="J364" i="5"/>
  <c r="K364" i="5" s="1"/>
  <c r="J361" i="5"/>
  <c r="K361" i="5" s="1"/>
  <c r="J384" i="5"/>
  <c r="K384" i="5" s="1"/>
  <c r="J381" i="5"/>
  <c r="K381" i="5" s="1"/>
  <c r="K406" i="5"/>
  <c r="J410" i="5"/>
  <c r="K410" i="5" s="1"/>
  <c r="J407" i="5"/>
  <c r="K407" i="5" s="1"/>
  <c r="J406" i="5"/>
  <c r="J404" i="5"/>
  <c r="K404" i="5" s="1"/>
  <c r="J403" i="5"/>
  <c r="K403" i="5" s="1"/>
  <c r="J401" i="5"/>
  <c r="K401" i="5" s="1"/>
  <c r="J400" i="5"/>
  <c r="K400" i="5" s="1"/>
  <c r="J398" i="5"/>
  <c r="K398" i="5" s="1"/>
  <c r="J397" i="5"/>
  <c r="K397" i="5" s="1"/>
  <c r="J395" i="5"/>
  <c r="K395" i="5" s="1"/>
  <c r="J394" i="5"/>
  <c r="K394" i="5" s="1"/>
  <c r="J392" i="5"/>
  <c r="K392" i="5" s="1"/>
  <c r="J391" i="5"/>
  <c r="K391" i="5" s="1"/>
  <c r="J389" i="5"/>
  <c r="K389" i="5" s="1"/>
  <c r="J388" i="5"/>
  <c r="K388" i="5" s="1"/>
  <c r="J386" i="5"/>
  <c r="K386" i="5" s="1"/>
  <c r="J380" i="5"/>
  <c r="K380" i="5" s="1"/>
  <c r="J378" i="5"/>
  <c r="K378" i="5" s="1"/>
  <c r="J377" i="5"/>
  <c r="K377" i="5" s="1"/>
  <c r="J375" i="5"/>
  <c r="K375" i="5" s="1"/>
  <c r="J374" i="5"/>
  <c r="K374" i="5" s="1"/>
  <c r="J372" i="5"/>
  <c r="K372" i="5" s="1"/>
  <c r="J371" i="5"/>
  <c r="K371" i="5" s="1"/>
  <c r="J369" i="5"/>
  <c r="K369" i="5" s="1"/>
  <c r="J368" i="5"/>
  <c r="K368" i="5" s="1"/>
  <c r="J366" i="5"/>
  <c r="K366" i="5" s="1"/>
  <c r="J360" i="5"/>
  <c r="K360" i="5" s="1"/>
  <c r="J358" i="5"/>
  <c r="K358" i="5" s="1"/>
  <c r="J357" i="5"/>
  <c r="K357" i="5" s="1"/>
  <c r="J355" i="5"/>
  <c r="K355" i="5" s="1"/>
  <c r="J354" i="5"/>
  <c r="K354" i="5" s="1"/>
  <c r="J352" i="5"/>
  <c r="K352" i="5" s="1"/>
  <c r="J351" i="5"/>
  <c r="K351" i="5" s="1"/>
  <c r="J349" i="5"/>
  <c r="K349" i="5" s="1"/>
  <c r="J348" i="5"/>
  <c r="K348" i="5" s="1"/>
  <c r="J341" i="5"/>
  <c r="K341" i="5" s="1"/>
  <c r="J340" i="5"/>
  <c r="K340" i="5" s="1"/>
  <c r="K335" i="5"/>
  <c r="K326" i="5"/>
  <c r="J335" i="5"/>
  <c r="J326" i="5"/>
  <c r="J317" i="5"/>
  <c r="K317" i="5" s="1"/>
  <c r="J308" i="5"/>
  <c r="K308" i="5" s="1"/>
  <c r="J299" i="5"/>
  <c r="K299" i="5" s="1"/>
  <c r="J289" i="5"/>
  <c r="K289" i="5" s="1"/>
  <c r="J280" i="5"/>
  <c r="K280" i="5" s="1"/>
  <c r="J271" i="5"/>
  <c r="K271" i="5" s="1"/>
  <c r="J262" i="5"/>
  <c r="K262" i="5" s="1"/>
  <c r="J252" i="5"/>
  <c r="K252" i="5" s="1"/>
  <c r="J243" i="5"/>
  <c r="K243" i="5" s="1"/>
  <c r="J234" i="5"/>
  <c r="K234" i="5" s="1"/>
  <c r="J225" i="5"/>
  <c r="K225" i="5" s="1"/>
  <c r="J216" i="5"/>
  <c r="K216" i="5" s="1"/>
  <c r="J207" i="5"/>
  <c r="K207" i="5" s="1"/>
  <c r="J198" i="5"/>
  <c r="K198" i="5" s="1"/>
  <c r="J189" i="5"/>
  <c r="K189" i="5" s="1"/>
  <c r="J107" i="5"/>
  <c r="J108" i="5"/>
  <c r="K108" i="5" s="1"/>
  <c r="J99" i="5"/>
  <c r="K99" i="5" s="1"/>
  <c r="J64" i="5"/>
  <c r="K64" i="5" s="1"/>
  <c r="K52" i="5"/>
  <c r="J70" i="5"/>
  <c r="K70" i="5" s="1"/>
  <c r="J58" i="5"/>
  <c r="K58" i="5" s="1"/>
  <c r="J56" i="5"/>
  <c r="K56" i="5" s="1"/>
  <c r="J54" i="5"/>
  <c r="K54" i="5" s="1"/>
  <c r="J62" i="5"/>
  <c r="K62" i="5" s="1"/>
  <c r="J52" i="5"/>
  <c r="J50" i="5"/>
  <c r="K50" i="5" s="1"/>
  <c r="J553" i="2"/>
  <c r="K553" i="2" s="1"/>
  <c r="J147" i="2"/>
  <c r="K147" i="2" s="1"/>
  <c r="I129" i="5"/>
  <c r="J222" i="2" l="1"/>
  <c r="K222" i="2" s="1"/>
  <c r="J129" i="5"/>
  <c r="J38" i="2"/>
  <c r="E321" i="2"/>
  <c r="F321" i="2" s="1"/>
  <c r="J321" i="2" s="1"/>
  <c r="J554" i="2"/>
  <c r="K554" i="2" s="1"/>
  <c r="E567" i="2"/>
  <c r="F519" i="2"/>
  <c r="J199" i="5" l="1"/>
  <c r="J200" i="5"/>
  <c r="J201" i="5"/>
  <c r="J202" i="5"/>
  <c r="J203" i="5"/>
  <c r="J204" i="5"/>
  <c r="J205" i="5"/>
  <c r="J206" i="5"/>
  <c r="J208" i="5"/>
  <c r="J209" i="5"/>
  <c r="J210" i="5"/>
  <c r="J211" i="5"/>
  <c r="J212" i="5"/>
  <c r="J213" i="5"/>
  <c r="J214" i="5"/>
  <c r="J215" i="5"/>
  <c r="K215" i="5" s="1"/>
  <c r="J217" i="5"/>
  <c r="J218" i="5"/>
  <c r="J219" i="5"/>
  <c r="J220" i="5"/>
  <c r="J221" i="5"/>
  <c r="J222" i="5"/>
  <c r="J223" i="5"/>
  <c r="J224" i="5"/>
  <c r="J226" i="5"/>
  <c r="J227" i="5"/>
  <c r="J228" i="5"/>
  <c r="J229" i="5"/>
  <c r="J230" i="5"/>
  <c r="J231" i="5"/>
  <c r="J232" i="5"/>
  <c r="J233" i="5"/>
  <c r="J235" i="5"/>
  <c r="J236" i="5"/>
  <c r="J237" i="5"/>
  <c r="J238" i="5"/>
  <c r="J239" i="5"/>
  <c r="J240" i="5"/>
  <c r="J241" i="5"/>
  <c r="J242" i="5"/>
  <c r="J244" i="5"/>
  <c r="J245" i="5"/>
  <c r="J246" i="5"/>
  <c r="K246" i="5" s="1"/>
  <c r="J247" i="5"/>
  <c r="K247" i="5" s="1"/>
  <c r="J248" i="5"/>
  <c r="K248" i="5" s="1"/>
  <c r="J249" i="5"/>
  <c r="K249" i="5" s="1"/>
  <c r="J250" i="5"/>
  <c r="K250" i="5" s="1"/>
  <c r="J251" i="5"/>
  <c r="K251" i="5" s="1"/>
  <c r="J722" i="5" l="1"/>
  <c r="J721" i="5"/>
  <c r="J720" i="5"/>
  <c r="I960" i="5"/>
  <c r="I959" i="5"/>
  <c r="I958" i="5"/>
  <c r="I957" i="5"/>
  <c r="I956" i="5"/>
  <c r="I955" i="5"/>
  <c r="I954" i="5"/>
  <c r="I953" i="5"/>
  <c r="I952" i="5"/>
  <c r="I951" i="5"/>
  <c r="I950" i="5"/>
  <c r="I949" i="5"/>
  <c r="I948" i="5"/>
  <c r="I947" i="5"/>
  <c r="I946" i="5"/>
  <c r="I945" i="5"/>
  <c r="I944" i="5"/>
  <c r="I943" i="5"/>
  <c r="I942" i="5"/>
  <c r="I941" i="5"/>
  <c r="I940" i="5"/>
  <c r="I913" i="5"/>
  <c r="I912" i="5"/>
  <c r="I911" i="5"/>
  <c r="I910" i="5"/>
  <c r="I909" i="5"/>
  <c r="I908" i="5"/>
  <c r="I907" i="5"/>
  <c r="I906" i="5"/>
  <c r="I905" i="5"/>
  <c r="I904" i="5"/>
  <c r="I903" i="5"/>
  <c r="I902" i="5"/>
  <c r="I901" i="5"/>
  <c r="I900" i="5"/>
  <c r="I899" i="5"/>
  <c r="I898" i="5"/>
  <c r="I897" i="5"/>
  <c r="I896" i="5"/>
  <c r="I895" i="5"/>
  <c r="I894" i="5"/>
  <c r="I893" i="5"/>
  <c r="I892" i="5"/>
  <c r="I891" i="5"/>
  <c r="I854" i="5"/>
  <c r="I853" i="5"/>
  <c r="I852" i="5"/>
  <c r="I851" i="5"/>
  <c r="I850" i="5"/>
  <c r="I849" i="5"/>
  <c r="I848" i="5"/>
  <c r="I847" i="5"/>
  <c r="I846" i="5"/>
  <c r="I845" i="5"/>
  <c r="I844" i="5"/>
  <c r="I843" i="5"/>
  <c r="I842" i="5"/>
  <c r="I841" i="5"/>
  <c r="I840" i="5"/>
  <c r="I839" i="5"/>
  <c r="I838" i="5"/>
  <c r="I837" i="5"/>
  <c r="I836" i="5"/>
  <c r="I835" i="5"/>
  <c r="I834" i="5"/>
  <c r="I833" i="5"/>
  <c r="I832" i="5"/>
  <c r="I831" i="5"/>
  <c r="I830" i="5"/>
  <c r="I829" i="5"/>
  <c r="I828" i="5"/>
  <c r="I827" i="5"/>
  <c r="I826" i="5"/>
  <c r="I825" i="5"/>
  <c r="I824" i="5"/>
  <c r="I823" i="5"/>
  <c r="I800" i="5"/>
  <c r="I799" i="5"/>
  <c r="I798" i="5"/>
  <c r="I797" i="5"/>
  <c r="I796" i="5"/>
  <c r="I795" i="5"/>
  <c r="I794" i="5"/>
  <c r="I793" i="5"/>
  <c r="I792" i="5"/>
  <c r="I791" i="5"/>
  <c r="I790" i="5"/>
  <c r="I789" i="5"/>
  <c r="I788" i="5"/>
  <c r="I787" i="5"/>
  <c r="I786" i="5"/>
  <c r="I785" i="5"/>
  <c r="I784" i="5"/>
  <c r="I783" i="5"/>
  <c r="I782" i="5"/>
  <c r="H744" i="5"/>
  <c r="H743" i="5"/>
  <c r="H742" i="5"/>
  <c r="H741" i="5"/>
  <c r="H740" i="5"/>
  <c r="H739" i="5"/>
  <c r="H738" i="5"/>
  <c r="H737" i="5"/>
  <c r="H736" i="5"/>
  <c r="H735" i="5"/>
  <c r="H699" i="5"/>
  <c r="H698" i="5"/>
  <c r="H697" i="5"/>
  <c r="H696" i="5"/>
  <c r="H695" i="5"/>
  <c r="H694" i="5"/>
  <c r="H693" i="5"/>
  <c r="J35" i="5" l="1"/>
  <c r="J34" i="5"/>
  <c r="J33" i="5"/>
  <c r="J32" i="5"/>
  <c r="J31" i="5"/>
  <c r="K31" i="5" s="1"/>
  <c r="J30" i="5"/>
  <c r="K30" i="5" s="1"/>
  <c r="J29" i="5"/>
  <c r="J28" i="5"/>
  <c r="K28" i="5" s="1"/>
  <c r="J27" i="5"/>
  <c r="J26" i="5"/>
  <c r="J1284" i="5"/>
  <c r="K1284" i="5" s="1"/>
  <c r="J1283" i="5"/>
  <c r="K1283" i="5" s="1"/>
  <c r="J1282" i="5"/>
  <c r="K1282" i="5" s="1"/>
  <c r="J1281" i="5"/>
  <c r="K1281" i="5" s="1"/>
  <c r="J1280" i="5"/>
  <c r="K1280" i="5" s="1"/>
  <c r="J1279" i="5"/>
  <c r="K1279" i="5" s="1"/>
  <c r="J1278" i="5"/>
  <c r="K1278" i="5" s="1"/>
  <c r="J1277" i="5"/>
  <c r="K1277" i="5" s="1"/>
  <c r="J1276" i="5"/>
  <c r="K1276" i="5" s="1"/>
  <c r="J1043" i="5"/>
  <c r="K1043" i="5" s="1"/>
  <c r="J682" i="5"/>
  <c r="K682" i="5" s="1"/>
  <c r="J681" i="5"/>
  <c r="K681" i="5" s="1"/>
  <c r="J642" i="5"/>
  <c r="K642" i="5" s="1"/>
  <c r="J641" i="5"/>
  <c r="K641" i="5" s="1"/>
  <c r="J640" i="5"/>
  <c r="K640" i="5" s="1"/>
  <c r="J639" i="5"/>
  <c r="K639" i="5" s="1"/>
  <c r="J638" i="5"/>
  <c r="K638" i="5" s="1"/>
  <c r="J621" i="5"/>
  <c r="K621" i="5" s="1"/>
  <c r="J607" i="5"/>
  <c r="K607" i="5" s="1"/>
  <c r="J603" i="5"/>
  <c r="K603" i="5" s="1"/>
  <c r="J598" i="5"/>
  <c r="K598" i="5" s="1"/>
  <c r="J595" i="5"/>
  <c r="K595" i="5" s="1"/>
  <c r="J586" i="5"/>
  <c r="J585" i="5"/>
  <c r="J584" i="5"/>
  <c r="J583" i="5"/>
  <c r="J522" i="5"/>
  <c r="K522" i="5" s="1"/>
  <c r="J521" i="5"/>
  <c r="K521" i="5" s="1"/>
  <c r="J520" i="5"/>
  <c r="K520" i="5" s="1"/>
  <c r="J519" i="5"/>
  <c r="K519" i="5" s="1"/>
  <c r="J518" i="5"/>
  <c r="K518" i="5" s="1"/>
  <c r="J517" i="5"/>
  <c r="K517" i="5" s="1"/>
  <c r="J516" i="5"/>
  <c r="K516" i="5" s="1"/>
  <c r="J515" i="5"/>
  <c r="K515" i="5" s="1"/>
  <c r="J514" i="5"/>
  <c r="K514" i="5" s="1"/>
  <c r="J513" i="5"/>
  <c r="K513" i="5" s="1"/>
  <c r="J495" i="5"/>
  <c r="K495" i="5" s="1"/>
  <c r="J494" i="5"/>
  <c r="K494" i="5" s="1"/>
  <c r="J493" i="5"/>
  <c r="K493" i="5" s="1"/>
  <c r="J492" i="5"/>
  <c r="K492" i="5" s="1"/>
  <c r="J491" i="5"/>
  <c r="K491" i="5" s="1"/>
  <c r="J490" i="5"/>
  <c r="K490" i="5" s="1"/>
  <c r="J489" i="5"/>
  <c r="K489" i="5" s="1"/>
  <c r="J488" i="5"/>
  <c r="K488" i="5" s="1"/>
  <c r="J487" i="5"/>
  <c r="K487" i="5" s="1"/>
  <c r="J486" i="5"/>
  <c r="K486" i="5" s="1"/>
  <c r="J485" i="5"/>
  <c r="K485" i="5" s="1"/>
  <c r="J484" i="5"/>
  <c r="K484" i="5" s="1"/>
  <c r="J483" i="5"/>
  <c r="K483" i="5" s="1"/>
  <c r="J482" i="5"/>
  <c r="K482" i="5" s="1"/>
  <c r="J481" i="5"/>
  <c r="K481" i="5" s="1"/>
  <c r="J480" i="5"/>
  <c r="K480" i="5" s="1"/>
  <c r="J479" i="5"/>
  <c r="K479" i="5" s="1"/>
  <c r="J478" i="5"/>
  <c r="K478" i="5" s="1"/>
  <c r="J477" i="5"/>
  <c r="K477" i="5" s="1"/>
  <c r="J476" i="5"/>
  <c r="K476" i="5" s="1"/>
  <c r="J475" i="5"/>
  <c r="K475" i="5" s="1"/>
  <c r="J474" i="5"/>
  <c r="K474" i="5" s="1"/>
  <c r="J473" i="5"/>
  <c r="K473" i="5" s="1"/>
  <c r="J472" i="5"/>
  <c r="K472" i="5" s="1"/>
  <c r="J471" i="5"/>
  <c r="K471" i="5" s="1"/>
  <c r="J467" i="5"/>
  <c r="K467" i="5" s="1"/>
  <c r="J461" i="5"/>
  <c r="K461" i="5" s="1"/>
  <c r="J85" i="5"/>
  <c r="K85" i="5" s="1"/>
  <c r="J84" i="5"/>
  <c r="K84" i="5" s="1"/>
  <c r="J83" i="5"/>
  <c r="K83" i="5" s="1"/>
  <c r="J82" i="5"/>
  <c r="K82" i="5" s="1"/>
  <c r="J81" i="5"/>
  <c r="K81" i="5" s="1"/>
  <c r="J80" i="5"/>
  <c r="K80" i="5" s="1"/>
  <c r="J79" i="5"/>
  <c r="K79" i="5" s="1"/>
  <c r="J78" i="5"/>
  <c r="K78" i="5" s="1"/>
  <c r="J77" i="5"/>
  <c r="K77" i="5" s="1"/>
  <c r="J76" i="5"/>
  <c r="K76" i="5" s="1"/>
  <c r="J75" i="5"/>
  <c r="K75" i="5" s="1"/>
  <c r="J1535" i="5"/>
  <c r="K1535" i="5" s="1"/>
  <c r="J1534" i="5"/>
  <c r="K1534" i="5" s="1"/>
  <c r="J1533" i="5"/>
  <c r="K1533" i="5" s="1"/>
  <c r="J1532" i="5"/>
  <c r="K1532" i="5" s="1"/>
  <c r="J1531" i="5"/>
  <c r="K1531" i="5" s="1"/>
  <c r="J1530" i="5"/>
  <c r="K1530" i="5" s="1"/>
  <c r="J1528" i="5"/>
  <c r="J1527" i="5"/>
  <c r="J1525" i="5"/>
  <c r="J1524" i="5"/>
  <c r="J1523" i="5"/>
  <c r="J1521" i="5"/>
  <c r="J1520" i="5"/>
  <c r="J1519" i="5"/>
  <c r="J1518" i="5"/>
  <c r="J1516" i="5"/>
  <c r="J1515" i="5"/>
  <c r="J1514" i="5"/>
  <c r="J1513" i="5"/>
  <c r="J1512" i="5"/>
  <c r="J1511" i="5"/>
  <c r="J1510" i="5"/>
  <c r="J1508" i="5"/>
  <c r="J1507" i="5"/>
  <c r="J1506" i="5"/>
  <c r="J1505" i="5"/>
  <c r="J1504" i="5"/>
  <c r="J1503" i="5"/>
  <c r="J1502" i="5"/>
  <c r="J1501" i="5"/>
  <c r="J1500" i="5"/>
  <c r="J1499" i="5"/>
  <c r="J1498" i="5"/>
  <c r="J1497" i="5"/>
  <c r="J1496" i="5"/>
  <c r="J1494" i="5"/>
  <c r="J1491" i="5"/>
  <c r="K1491" i="5" s="1"/>
  <c r="J1490" i="5"/>
  <c r="K1490" i="5" s="1"/>
  <c r="J1489" i="5"/>
  <c r="K1489" i="5" s="1"/>
  <c r="J1488" i="5"/>
  <c r="K1488" i="5" s="1"/>
  <c r="J1487" i="5"/>
  <c r="K1487" i="5" s="1"/>
  <c r="J1486" i="5"/>
  <c r="K1486" i="5" s="1"/>
  <c r="J1485" i="5"/>
  <c r="K1485" i="5" s="1"/>
  <c r="J1484" i="5"/>
  <c r="K1484" i="5" s="1"/>
  <c r="J1483" i="5"/>
  <c r="K1483" i="5" s="1"/>
  <c r="J1482" i="5"/>
  <c r="K1482" i="5" s="1"/>
  <c r="J1481" i="5"/>
  <c r="K1481" i="5" s="1"/>
  <c r="J1480" i="5"/>
  <c r="K1480" i="5" s="1"/>
  <c r="J1479" i="5"/>
  <c r="K1479" i="5" s="1"/>
  <c r="J1478" i="5"/>
  <c r="K1478" i="5" s="1"/>
  <c r="J1477" i="5"/>
  <c r="K1477" i="5" s="1"/>
  <c r="J1476" i="5"/>
  <c r="K1476" i="5" s="1"/>
  <c r="J1475" i="5"/>
  <c r="K1475" i="5" s="1"/>
  <c r="J1474" i="5"/>
  <c r="K1474" i="5" s="1"/>
  <c r="J1473" i="5"/>
  <c r="K1473" i="5" s="1"/>
  <c r="J1472" i="5"/>
  <c r="K1472" i="5" s="1"/>
  <c r="J1471" i="5"/>
  <c r="J1470" i="5"/>
  <c r="K1470" i="5" s="1"/>
  <c r="J1469" i="5"/>
  <c r="K1469" i="5" s="1"/>
  <c r="J1468" i="5"/>
  <c r="K1468" i="5" s="1"/>
  <c r="J1467" i="5"/>
  <c r="K1467" i="5" s="1"/>
  <c r="J1466" i="5"/>
  <c r="K1466" i="5" s="1"/>
  <c r="J1465" i="5"/>
  <c r="K1465" i="5" s="1"/>
  <c r="J1464" i="5"/>
  <c r="K1464" i="5" s="1"/>
  <c r="J1463" i="5"/>
  <c r="K1463" i="5" s="1"/>
  <c r="J1462" i="5"/>
  <c r="K1462" i="5" s="1"/>
  <c r="J1461" i="5"/>
  <c r="K1461" i="5" s="1"/>
  <c r="J1460" i="5"/>
  <c r="K1460" i="5" s="1"/>
  <c r="J1459" i="5"/>
  <c r="K1459" i="5" s="1"/>
  <c r="J1458" i="5"/>
  <c r="K1458" i="5" s="1"/>
  <c r="J1457" i="5"/>
  <c r="K1457" i="5" s="1"/>
  <c r="J1456" i="5"/>
  <c r="K1456" i="5" s="1"/>
  <c r="J1455" i="5"/>
  <c r="K1455" i="5" s="1"/>
  <c r="J1454" i="5"/>
  <c r="K1454" i="5" s="1"/>
  <c r="J1453" i="5"/>
  <c r="K1453" i="5" s="1"/>
  <c r="J1452" i="5"/>
  <c r="K1452" i="5" s="1"/>
  <c r="J1451" i="5"/>
  <c r="K1451" i="5" s="1"/>
  <c r="J1450" i="5"/>
  <c r="J1449" i="5"/>
  <c r="K1449" i="5" s="1"/>
  <c r="J1448" i="5"/>
  <c r="K1448" i="5" s="1"/>
  <c r="J1447" i="5"/>
  <c r="K1447" i="5" s="1"/>
  <c r="J1446" i="5"/>
  <c r="K1446" i="5" s="1"/>
  <c r="J1445" i="5"/>
  <c r="K1445" i="5" s="1"/>
  <c r="J1444" i="5"/>
  <c r="K1444" i="5" s="1"/>
  <c r="J1443" i="5"/>
  <c r="K1443" i="5" s="1"/>
  <c r="J1442" i="5"/>
  <c r="K1442" i="5" s="1"/>
  <c r="J1441" i="5"/>
  <c r="K1441" i="5" s="1"/>
  <c r="J1440" i="5"/>
  <c r="K1440" i="5" s="1"/>
  <c r="J1439" i="5"/>
  <c r="K1439" i="5" s="1"/>
  <c r="J1438" i="5"/>
  <c r="K1438" i="5" s="1"/>
  <c r="J1437" i="5"/>
  <c r="K1437" i="5" s="1"/>
  <c r="J1436" i="5"/>
  <c r="K1436" i="5" s="1"/>
  <c r="J1435" i="5"/>
  <c r="K1435" i="5" s="1"/>
  <c r="J1434" i="5"/>
  <c r="J1433" i="5"/>
  <c r="K1433" i="5" s="1"/>
  <c r="J1432" i="5"/>
  <c r="K1432" i="5" s="1"/>
  <c r="J1431" i="5"/>
  <c r="K1431" i="5" s="1"/>
  <c r="J1430" i="5"/>
  <c r="K1430" i="5" s="1"/>
  <c r="J1429" i="5"/>
  <c r="K1429" i="5" s="1"/>
  <c r="J1428" i="5"/>
  <c r="K1428" i="5" s="1"/>
  <c r="J1427" i="5"/>
  <c r="K1427" i="5" s="1"/>
  <c r="J1426" i="5"/>
  <c r="K1426" i="5" s="1"/>
  <c r="J1425" i="5"/>
  <c r="K1425" i="5" s="1"/>
  <c r="J1424" i="5"/>
  <c r="K1424" i="5" s="1"/>
  <c r="J1423" i="5"/>
  <c r="K1423" i="5" s="1"/>
  <c r="J1422" i="5"/>
  <c r="K1422" i="5" s="1"/>
  <c r="J1421" i="5"/>
  <c r="K1421" i="5" s="1"/>
  <c r="J1420" i="5"/>
  <c r="K1420" i="5" s="1"/>
  <c r="J1419" i="5"/>
  <c r="K1419" i="5" s="1"/>
  <c r="J1418" i="5"/>
  <c r="J1416" i="5"/>
  <c r="J1415" i="5"/>
  <c r="J1414" i="5"/>
  <c r="J1413" i="5"/>
  <c r="J1411" i="5"/>
  <c r="J1410" i="5"/>
  <c r="J1409" i="5"/>
  <c r="J1408" i="5"/>
  <c r="J1406" i="5"/>
  <c r="J1405" i="5"/>
  <c r="J1404" i="5"/>
  <c r="J1403" i="5"/>
  <c r="J1401" i="5"/>
  <c r="J1400" i="5"/>
  <c r="J1399" i="5"/>
  <c r="J1398" i="5"/>
  <c r="J1396" i="5"/>
  <c r="J1395" i="5"/>
  <c r="J1394" i="5"/>
  <c r="J1393" i="5"/>
  <c r="J1389" i="5"/>
  <c r="J1388" i="5"/>
  <c r="J1387" i="5"/>
  <c r="J1386" i="5"/>
  <c r="J1385" i="5"/>
  <c r="J1384" i="5"/>
  <c r="J1383" i="5"/>
  <c r="J1382" i="5"/>
  <c r="J1381" i="5"/>
  <c r="J1380" i="5"/>
  <c r="J1379" i="5"/>
  <c r="J1378" i="5"/>
  <c r="J1377" i="5"/>
  <c r="J1376" i="5"/>
  <c r="J1374" i="5"/>
  <c r="J1373" i="5"/>
  <c r="J1372" i="5"/>
  <c r="J1371" i="5"/>
  <c r="J1370" i="5"/>
  <c r="J1369" i="5"/>
  <c r="J1368" i="5"/>
  <c r="J1367" i="5"/>
  <c r="K1367" i="5" s="1"/>
  <c r="J1366" i="5"/>
  <c r="J1365" i="5"/>
  <c r="J1364" i="5"/>
  <c r="J1362" i="5"/>
  <c r="K1362" i="5" s="1"/>
  <c r="J1361" i="5"/>
  <c r="K1361" i="5" s="1"/>
  <c r="J1360" i="5"/>
  <c r="K1360" i="5" s="1"/>
  <c r="J1359" i="5"/>
  <c r="J1357" i="5"/>
  <c r="K1357" i="5" s="1"/>
  <c r="J1356" i="5"/>
  <c r="K1356" i="5" s="1"/>
  <c r="J1355" i="5"/>
  <c r="K1355" i="5" s="1"/>
  <c r="J1354" i="5"/>
  <c r="J1352" i="5"/>
  <c r="K1352" i="5" s="1"/>
  <c r="J1351" i="5"/>
  <c r="K1351" i="5" s="1"/>
  <c r="J1350" i="5"/>
  <c r="K1350" i="5" s="1"/>
  <c r="J1349" i="5"/>
  <c r="J1347" i="5"/>
  <c r="K1347" i="5" s="1"/>
  <c r="J1346" i="5"/>
  <c r="K1346" i="5" s="1"/>
  <c r="J1345" i="5"/>
  <c r="K1345" i="5" s="1"/>
  <c r="J1344" i="5"/>
  <c r="J1342" i="5"/>
  <c r="K1342" i="5" s="1"/>
  <c r="J1341" i="5"/>
  <c r="K1341" i="5" s="1"/>
  <c r="J1340" i="5"/>
  <c r="K1340" i="5" s="1"/>
  <c r="J1339" i="5"/>
  <c r="J1337" i="5"/>
  <c r="K1337" i="5" s="1"/>
  <c r="J1336" i="5"/>
  <c r="K1336" i="5" s="1"/>
  <c r="J1335" i="5"/>
  <c r="K1335" i="5" s="1"/>
  <c r="J1334" i="5"/>
  <c r="J1332" i="5"/>
  <c r="K1332" i="5" s="1"/>
  <c r="J1331" i="5"/>
  <c r="K1331" i="5" s="1"/>
  <c r="J1330" i="5"/>
  <c r="K1330" i="5" s="1"/>
  <c r="J1329" i="5"/>
  <c r="J1327" i="5"/>
  <c r="K1327" i="5" s="1"/>
  <c r="J1326" i="5"/>
  <c r="K1326" i="5" s="1"/>
  <c r="J1325" i="5"/>
  <c r="K1325" i="5" s="1"/>
  <c r="J1324" i="5"/>
  <c r="J1322" i="5"/>
  <c r="K1322" i="5" s="1"/>
  <c r="J1321" i="5"/>
  <c r="K1321" i="5" s="1"/>
  <c r="J1320" i="5"/>
  <c r="K1320" i="5" s="1"/>
  <c r="J1319" i="5"/>
  <c r="J1318" i="5"/>
  <c r="J1317" i="5"/>
  <c r="K1317" i="5" s="1"/>
  <c r="J1316" i="5"/>
  <c r="K1316" i="5" s="1"/>
  <c r="J1315" i="5"/>
  <c r="K1315" i="5" s="1"/>
  <c r="J1314" i="5"/>
  <c r="J1312" i="5"/>
  <c r="K1312" i="5" s="1"/>
  <c r="J1311" i="5"/>
  <c r="K1311" i="5" s="1"/>
  <c r="J1310" i="5"/>
  <c r="K1310" i="5" s="1"/>
  <c r="J1309" i="5"/>
  <c r="J1307" i="5"/>
  <c r="K1307" i="5" s="1"/>
  <c r="J1306" i="5"/>
  <c r="K1306" i="5" s="1"/>
  <c r="J1305" i="5"/>
  <c r="K1305" i="5" s="1"/>
  <c r="J1304" i="5"/>
  <c r="J1302" i="5"/>
  <c r="K1302" i="5" s="1"/>
  <c r="J1301" i="5"/>
  <c r="K1301" i="5" s="1"/>
  <c r="J1300" i="5"/>
  <c r="K1300" i="5" s="1"/>
  <c r="J1299" i="5"/>
  <c r="J1297" i="5"/>
  <c r="K1297" i="5" s="1"/>
  <c r="J1296" i="5"/>
  <c r="K1296" i="5" s="1"/>
  <c r="J1295" i="5"/>
  <c r="K1295" i="5" s="1"/>
  <c r="J1294" i="5"/>
  <c r="J1293" i="5"/>
  <c r="K1293" i="5" s="1"/>
  <c r="J1292" i="5"/>
  <c r="K1292" i="5" s="1"/>
  <c r="J1291" i="5"/>
  <c r="K1291" i="5" s="1"/>
  <c r="J1290" i="5"/>
  <c r="J1288" i="5"/>
  <c r="J1287" i="5"/>
  <c r="J1286" i="5"/>
  <c r="K1286" i="5" s="1"/>
  <c r="J1285" i="5"/>
  <c r="J1275" i="5"/>
  <c r="K1275" i="5" s="1"/>
  <c r="J1274" i="5"/>
  <c r="K1274" i="5" s="1"/>
  <c r="J1273" i="5"/>
  <c r="K1273" i="5" s="1"/>
  <c r="J1272" i="5"/>
  <c r="K1272" i="5" s="1"/>
  <c r="J1271" i="5"/>
  <c r="J1269" i="5"/>
  <c r="J1268" i="5"/>
  <c r="J1267" i="5"/>
  <c r="J1266" i="5"/>
  <c r="J1264" i="5"/>
  <c r="J1263" i="5"/>
  <c r="J1262" i="5"/>
  <c r="J1261" i="5"/>
  <c r="J1260" i="5"/>
  <c r="J1259" i="5"/>
  <c r="J1257" i="5"/>
  <c r="J1256" i="5"/>
  <c r="J1254" i="5"/>
  <c r="J1253" i="5"/>
  <c r="J1252" i="5"/>
  <c r="J1251" i="5"/>
  <c r="J1250" i="5"/>
  <c r="J1249" i="5"/>
  <c r="J1247" i="5"/>
  <c r="J1246" i="5"/>
  <c r="J1245" i="5"/>
  <c r="J1244" i="5"/>
  <c r="J1243" i="5"/>
  <c r="J1242" i="5"/>
  <c r="J1241" i="5"/>
  <c r="J1240" i="5"/>
  <c r="J1239" i="5"/>
  <c r="J1238" i="5"/>
  <c r="J1237" i="5"/>
  <c r="J1236" i="5"/>
  <c r="J1235" i="5"/>
  <c r="J1233" i="5"/>
  <c r="J1232" i="5"/>
  <c r="J1231" i="5"/>
  <c r="K1231" i="5" s="1"/>
  <c r="J1230" i="5"/>
  <c r="K1230" i="5" s="1"/>
  <c r="J1229" i="5"/>
  <c r="K1229" i="5" s="1"/>
  <c r="J1228" i="5"/>
  <c r="K1228" i="5" s="1"/>
  <c r="J1227" i="5"/>
  <c r="J1226" i="5"/>
  <c r="K1226" i="5" s="1"/>
  <c r="J1225" i="5"/>
  <c r="K1225" i="5" s="1"/>
  <c r="J1224" i="5"/>
  <c r="K1224" i="5" s="1"/>
  <c r="J1223" i="5"/>
  <c r="J1222" i="5"/>
  <c r="K1222" i="5" s="1"/>
  <c r="J1221" i="5"/>
  <c r="K1221" i="5" s="1"/>
  <c r="J1220" i="5"/>
  <c r="K1220" i="5" s="1"/>
  <c r="J1219" i="5"/>
  <c r="K1219" i="5" s="1"/>
  <c r="J1218" i="5"/>
  <c r="K1218" i="5" s="1"/>
  <c r="J1217" i="5"/>
  <c r="K1217" i="5" s="1"/>
  <c r="J1216" i="5"/>
  <c r="J1215" i="5"/>
  <c r="K1215" i="5" s="1"/>
  <c r="J1214" i="5"/>
  <c r="K1214" i="5" s="1"/>
  <c r="J1213" i="5"/>
  <c r="K1213" i="5" s="1"/>
  <c r="J1212" i="5"/>
  <c r="K1212" i="5" s="1"/>
  <c r="J1211" i="5"/>
  <c r="K1211" i="5" s="1"/>
  <c r="J1210" i="5"/>
  <c r="K1210" i="5" s="1"/>
  <c r="J1209" i="5"/>
  <c r="K1209" i="5" s="1"/>
  <c r="J1208" i="5"/>
  <c r="K1208" i="5" s="1"/>
  <c r="J1207" i="5"/>
  <c r="J1206" i="5"/>
  <c r="K1206" i="5" s="1"/>
  <c r="J1205" i="5"/>
  <c r="J1204" i="5"/>
  <c r="K1204" i="5" s="1"/>
  <c r="J1203" i="5"/>
  <c r="J1202" i="5"/>
  <c r="K1202" i="5" s="1"/>
  <c r="J1201" i="5"/>
  <c r="J1200" i="5"/>
  <c r="K1200" i="5" s="1"/>
  <c r="J1199" i="5"/>
  <c r="J1198" i="5"/>
  <c r="K1198" i="5" s="1"/>
  <c r="J1197" i="5"/>
  <c r="K1197" i="5" s="1"/>
  <c r="J1196" i="5"/>
  <c r="K1196" i="5" s="1"/>
  <c r="J1195" i="5"/>
  <c r="K1195" i="5" s="1"/>
  <c r="J1194" i="5"/>
  <c r="J1193" i="5"/>
  <c r="K1193" i="5" s="1"/>
  <c r="J1192" i="5"/>
  <c r="K1192" i="5" s="1"/>
  <c r="J1191" i="5"/>
  <c r="K1191" i="5" s="1"/>
  <c r="J1190" i="5"/>
  <c r="K1190" i="5" s="1"/>
  <c r="J1189" i="5"/>
  <c r="J1188" i="5"/>
  <c r="J1187" i="5"/>
  <c r="J1186" i="5"/>
  <c r="J1185" i="5"/>
  <c r="J1183" i="5"/>
  <c r="K1183" i="5" s="1"/>
  <c r="J1182" i="5"/>
  <c r="K1182" i="5" s="1"/>
  <c r="J1181" i="5"/>
  <c r="J1180" i="5"/>
  <c r="K1180" i="5" s="1"/>
  <c r="J1179" i="5"/>
  <c r="K1179" i="5" s="1"/>
  <c r="J1178" i="5"/>
  <c r="J1177" i="5"/>
  <c r="K1177" i="5" s="1"/>
  <c r="J1176" i="5"/>
  <c r="K1176" i="5" s="1"/>
  <c r="J1175" i="5"/>
  <c r="J1173" i="5"/>
  <c r="J1172" i="5"/>
  <c r="J1171" i="5"/>
  <c r="J1169" i="5"/>
  <c r="K1169" i="5" s="1"/>
  <c r="J1168" i="5"/>
  <c r="J1167" i="5"/>
  <c r="K1167" i="5" s="1"/>
  <c r="J1166" i="5"/>
  <c r="J1165" i="5"/>
  <c r="K1165" i="5" s="1"/>
  <c r="J1164" i="5"/>
  <c r="J1162" i="5"/>
  <c r="K1162" i="5" s="1"/>
  <c r="J1161" i="5"/>
  <c r="K1161" i="5" s="1"/>
  <c r="J1160" i="5"/>
  <c r="J1159" i="5"/>
  <c r="K1159" i="5" s="1"/>
  <c r="J1158" i="5"/>
  <c r="K1158" i="5" s="1"/>
  <c r="J1157" i="5"/>
  <c r="K1157" i="5" s="1"/>
  <c r="J1156" i="5"/>
  <c r="J1155" i="5"/>
  <c r="J1153" i="5"/>
  <c r="K1153" i="5" s="1"/>
  <c r="J1152" i="5"/>
  <c r="K1152" i="5" s="1"/>
  <c r="J1151" i="5"/>
  <c r="J1150" i="5"/>
  <c r="K1150" i="5" s="1"/>
  <c r="J1149" i="5"/>
  <c r="K1149" i="5" s="1"/>
  <c r="J1148" i="5"/>
  <c r="K1148" i="5" s="1"/>
  <c r="J1147" i="5"/>
  <c r="J1146" i="5"/>
  <c r="J1144" i="5"/>
  <c r="K1144" i="5" s="1"/>
  <c r="J1143" i="5"/>
  <c r="K1143" i="5" s="1"/>
  <c r="J1142" i="5"/>
  <c r="J1141" i="5"/>
  <c r="K1141" i="5" s="1"/>
  <c r="J1140" i="5"/>
  <c r="K1140" i="5" s="1"/>
  <c r="J1139" i="5"/>
  <c r="K1139" i="5" s="1"/>
  <c r="J1138" i="5"/>
  <c r="J1137" i="5"/>
  <c r="J1135" i="5"/>
  <c r="K1135" i="5" s="1"/>
  <c r="J1134" i="5"/>
  <c r="K1134" i="5" s="1"/>
  <c r="J1133" i="5"/>
  <c r="J1132" i="5"/>
  <c r="K1132" i="5" s="1"/>
  <c r="J1131" i="5"/>
  <c r="K1131" i="5" s="1"/>
  <c r="J1130" i="5"/>
  <c r="K1130" i="5" s="1"/>
  <c r="J1129" i="5"/>
  <c r="J1128" i="5"/>
  <c r="J1126" i="5"/>
  <c r="K1126" i="5" s="1"/>
  <c r="J1125" i="5"/>
  <c r="K1125" i="5" s="1"/>
  <c r="J1124" i="5"/>
  <c r="J1123" i="5"/>
  <c r="K1123" i="5" s="1"/>
  <c r="J1122" i="5"/>
  <c r="K1122" i="5" s="1"/>
  <c r="J1121" i="5"/>
  <c r="K1121" i="5" s="1"/>
  <c r="J1120" i="5"/>
  <c r="J1119" i="5"/>
  <c r="J1117" i="5"/>
  <c r="K1117" i="5" s="1"/>
  <c r="J1116" i="5"/>
  <c r="K1116" i="5" s="1"/>
  <c r="J1115" i="5"/>
  <c r="J1114" i="5"/>
  <c r="K1114" i="5" s="1"/>
  <c r="J1113" i="5"/>
  <c r="K1113" i="5" s="1"/>
  <c r="J1112" i="5"/>
  <c r="K1112" i="5" s="1"/>
  <c r="J1111" i="5"/>
  <c r="J1110" i="5"/>
  <c r="J1108" i="5"/>
  <c r="K1108" i="5" s="1"/>
  <c r="J1107" i="5"/>
  <c r="K1107" i="5" s="1"/>
  <c r="J1106" i="5"/>
  <c r="K1106" i="5" s="1"/>
  <c r="J1105" i="5"/>
  <c r="K1105" i="5" s="1"/>
  <c r="J1104" i="5"/>
  <c r="K1104" i="5" s="1"/>
  <c r="J1103" i="5"/>
  <c r="J1101" i="5"/>
  <c r="K1101" i="5" s="1"/>
  <c r="J1100" i="5"/>
  <c r="K1100" i="5" s="1"/>
  <c r="J1099" i="5"/>
  <c r="K1099" i="5" s="1"/>
  <c r="J1098" i="5"/>
  <c r="K1098" i="5" s="1"/>
  <c r="J1097" i="5"/>
  <c r="K1097" i="5" s="1"/>
  <c r="J1096" i="5"/>
  <c r="J1094" i="5"/>
  <c r="K1094" i="5" s="1"/>
  <c r="J1093" i="5"/>
  <c r="K1093" i="5" s="1"/>
  <c r="J1092" i="5"/>
  <c r="K1092" i="5" s="1"/>
  <c r="J1091" i="5"/>
  <c r="K1091" i="5" s="1"/>
  <c r="J1090" i="5"/>
  <c r="K1090" i="5" s="1"/>
  <c r="J1089" i="5"/>
  <c r="J1087" i="5"/>
  <c r="K1087" i="5" s="1"/>
  <c r="J1086" i="5"/>
  <c r="K1086" i="5" s="1"/>
  <c r="J1085" i="5"/>
  <c r="K1085" i="5" s="1"/>
  <c r="J1084" i="5"/>
  <c r="K1084" i="5" s="1"/>
  <c r="J1083" i="5"/>
  <c r="K1083" i="5" s="1"/>
  <c r="J1082" i="5"/>
  <c r="J1079" i="5"/>
  <c r="K1079" i="5" s="1"/>
  <c r="J1078" i="5"/>
  <c r="K1078" i="5" s="1"/>
  <c r="J1077" i="5"/>
  <c r="K1077" i="5" s="1"/>
  <c r="J1076" i="5"/>
  <c r="K1076" i="5" s="1"/>
  <c r="J1075" i="5"/>
  <c r="K1075" i="5" s="1"/>
  <c r="J1074" i="5"/>
  <c r="J1072" i="5"/>
  <c r="K1072" i="5" s="1"/>
  <c r="J1071" i="5"/>
  <c r="K1071" i="5" s="1"/>
  <c r="J1070" i="5"/>
  <c r="K1070" i="5" s="1"/>
  <c r="J1069" i="5"/>
  <c r="K1069" i="5" s="1"/>
  <c r="J1068" i="5"/>
  <c r="K1068" i="5" s="1"/>
  <c r="J1067" i="5"/>
  <c r="J1065" i="5"/>
  <c r="K1065" i="5" s="1"/>
  <c r="J1064" i="5"/>
  <c r="K1064" i="5" s="1"/>
  <c r="J1063" i="5"/>
  <c r="K1063" i="5" s="1"/>
  <c r="J1062" i="5"/>
  <c r="K1062" i="5" s="1"/>
  <c r="J1061" i="5"/>
  <c r="K1061" i="5" s="1"/>
  <c r="J1060" i="5"/>
  <c r="J1058" i="5"/>
  <c r="K1058" i="5" s="1"/>
  <c r="J1057" i="5"/>
  <c r="K1057" i="5" s="1"/>
  <c r="J1056" i="5"/>
  <c r="K1056" i="5" s="1"/>
  <c r="J1055" i="5"/>
  <c r="K1055" i="5" s="1"/>
  <c r="J1054" i="5"/>
  <c r="K1054" i="5" s="1"/>
  <c r="J1053" i="5"/>
  <c r="J1050" i="5"/>
  <c r="K1050" i="5" s="1"/>
  <c r="J1049" i="5"/>
  <c r="J1048" i="5"/>
  <c r="K1048" i="5" s="1"/>
  <c r="J1047" i="5"/>
  <c r="J1046" i="5"/>
  <c r="K1046" i="5" s="1"/>
  <c r="J1045" i="5"/>
  <c r="J1044" i="5"/>
  <c r="J1041" i="5"/>
  <c r="J1040" i="5"/>
  <c r="J1039" i="5"/>
  <c r="J1038" i="5"/>
  <c r="K1038" i="5" s="1"/>
  <c r="J1037" i="5"/>
  <c r="J1036" i="5"/>
  <c r="J1035" i="5"/>
  <c r="J1034" i="5"/>
  <c r="J1033" i="5"/>
  <c r="J1032" i="5"/>
  <c r="K1032" i="5" s="1"/>
  <c r="J1031" i="5"/>
  <c r="J1029" i="5"/>
  <c r="J1028" i="5"/>
  <c r="J1027" i="5"/>
  <c r="J1026" i="5"/>
  <c r="J1025" i="5"/>
  <c r="J1024" i="5"/>
  <c r="J1023" i="5"/>
  <c r="J1022" i="5"/>
  <c r="J1021" i="5"/>
  <c r="J1020" i="5"/>
  <c r="K1020" i="5" s="1"/>
  <c r="J1019" i="5"/>
  <c r="K1019" i="5" s="1"/>
  <c r="J1018" i="5"/>
  <c r="K1018" i="5" s="1"/>
  <c r="J1017" i="5"/>
  <c r="K1017" i="5" s="1"/>
  <c r="J1016" i="5"/>
  <c r="K1016" i="5" s="1"/>
  <c r="J1015" i="5"/>
  <c r="J1013" i="5"/>
  <c r="J1012" i="5"/>
  <c r="K1012" i="5" s="1"/>
  <c r="J1011" i="5"/>
  <c r="J1010" i="5"/>
  <c r="J1009" i="5"/>
  <c r="J1008" i="5"/>
  <c r="J1007" i="5"/>
  <c r="J1006" i="5"/>
  <c r="K1006" i="5" s="1"/>
  <c r="J1005" i="5"/>
  <c r="J1003" i="5"/>
  <c r="J1002" i="5"/>
  <c r="K1002" i="5" s="1"/>
  <c r="J1001" i="5"/>
  <c r="J995" i="5"/>
  <c r="J993" i="5"/>
  <c r="J992" i="5"/>
  <c r="J991" i="5"/>
  <c r="J990" i="5"/>
  <c r="K990" i="5" s="1"/>
  <c r="J989" i="5"/>
  <c r="J988" i="5"/>
  <c r="K988" i="5" s="1"/>
  <c r="J987" i="5"/>
  <c r="J986" i="5"/>
  <c r="K986" i="5" s="1"/>
  <c r="J985" i="5"/>
  <c r="J983" i="5"/>
  <c r="J982" i="5"/>
  <c r="K982" i="5" s="1"/>
  <c r="J979" i="5"/>
  <c r="K979" i="5" s="1"/>
  <c r="J977" i="5"/>
  <c r="K977" i="5" s="1"/>
  <c r="J975" i="5"/>
  <c r="K975" i="5" s="1"/>
  <c r="J973" i="5"/>
  <c r="K973" i="5" s="1"/>
  <c r="J971" i="5"/>
  <c r="K971" i="5" s="1"/>
  <c r="J969" i="5"/>
  <c r="K969" i="5" s="1"/>
  <c r="J967" i="5"/>
  <c r="K967" i="5" s="1"/>
  <c r="J965" i="5"/>
  <c r="K965" i="5" s="1"/>
  <c r="J963" i="5"/>
  <c r="K963" i="5" s="1"/>
  <c r="J961" i="5"/>
  <c r="K961" i="5" s="1"/>
  <c r="J959" i="5"/>
  <c r="K959" i="5" s="1"/>
  <c r="J957" i="5"/>
  <c r="K957" i="5" s="1"/>
  <c r="J955" i="5"/>
  <c r="K955" i="5" s="1"/>
  <c r="J953" i="5"/>
  <c r="K953" i="5" s="1"/>
  <c r="J951" i="5"/>
  <c r="K951" i="5" s="1"/>
  <c r="J949" i="5"/>
  <c r="K949" i="5" s="1"/>
  <c r="J947" i="5"/>
  <c r="K947" i="5" s="1"/>
  <c r="J945" i="5"/>
  <c r="K945" i="5" s="1"/>
  <c r="J943" i="5"/>
  <c r="K943" i="5" s="1"/>
  <c r="J941" i="5"/>
  <c r="K941" i="5" s="1"/>
  <c r="J938" i="5"/>
  <c r="K938" i="5" s="1"/>
  <c r="J935" i="5"/>
  <c r="K935" i="5" s="1"/>
  <c r="J933" i="5"/>
  <c r="K933" i="5" s="1"/>
  <c r="J931" i="5"/>
  <c r="K931" i="5" s="1"/>
  <c r="J929" i="5"/>
  <c r="K929" i="5" s="1"/>
  <c r="J927" i="5"/>
  <c r="K927" i="5" s="1"/>
  <c r="J924" i="5"/>
  <c r="K924" i="5" s="1"/>
  <c r="J922" i="5"/>
  <c r="K922" i="5" s="1"/>
  <c r="J920" i="5"/>
  <c r="K920" i="5" s="1"/>
  <c r="J918" i="5"/>
  <c r="K918" i="5" s="1"/>
  <c r="J916" i="5"/>
  <c r="K916" i="5" s="1"/>
  <c r="J914" i="5"/>
  <c r="K914" i="5" s="1"/>
  <c r="J912" i="5"/>
  <c r="K912" i="5" s="1"/>
  <c r="J910" i="5"/>
  <c r="K910" i="5" s="1"/>
  <c r="J908" i="5"/>
  <c r="K908" i="5" s="1"/>
  <c r="J906" i="5"/>
  <c r="K906" i="5" s="1"/>
  <c r="J904" i="5"/>
  <c r="K904" i="5" s="1"/>
  <c r="J902" i="5"/>
  <c r="K902" i="5" s="1"/>
  <c r="J900" i="5"/>
  <c r="K900" i="5" s="1"/>
  <c r="J898" i="5"/>
  <c r="K898" i="5" s="1"/>
  <c r="J896" i="5"/>
  <c r="K896" i="5" s="1"/>
  <c r="J894" i="5"/>
  <c r="K894" i="5" s="1"/>
  <c r="J892" i="5"/>
  <c r="K892" i="5" s="1"/>
  <c r="J889" i="5"/>
  <c r="K889" i="5" s="1"/>
  <c r="J886" i="5"/>
  <c r="K886" i="5" s="1"/>
  <c r="J884" i="5"/>
  <c r="K884" i="5" s="1"/>
  <c r="J882" i="5"/>
  <c r="K882" i="5" s="1"/>
  <c r="J880" i="5"/>
  <c r="K880" i="5" s="1"/>
  <c r="J878" i="5"/>
  <c r="K878" i="5" s="1"/>
  <c r="J876" i="5"/>
  <c r="K876" i="5" s="1"/>
  <c r="J874" i="5"/>
  <c r="K874" i="5" s="1"/>
  <c r="J872" i="5"/>
  <c r="K872" i="5" s="1"/>
  <c r="J870" i="5"/>
  <c r="K870" i="5" s="1"/>
  <c r="J868" i="5"/>
  <c r="K868" i="5" s="1"/>
  <c r="J866" i="5"/>
  <c r="K866" i="5" s="1"/>
  <c r="J864" i="5"/>
  <c r="K864" i="5" s="1"/>
  <c r="J862" i="5"/>
  <c r="K862" i="5" s="1"/>
  <c r="J860" i="5"/>
  <c r="K860" i="5" s="1"/>
  <c r="J858" i="5"/>
  <c r="K858" i="5" s="1"/>
  <c r="J856" i="5"/>
  <c r="K856" i="5" s="1"/>
  <c r="J854" i="5"/>
  <c r="K854" i="5" s="1"/>
  <c r="J852" i="5"/>
  <c r="K852" i="5" s="1"/>
  <c r="J850" i="5"/>
  <c r="K850" i="5" s="1"/>
  <c r="J847" i="5"/>
  <c r="K847" i="5" s="1"/>
  <c r="J845" i="5"/>
  <c r="K845" i="5" s="1"/>
  <c r="J843" i="5"/>
  <c r="K843" i="5" s="1"/>
  <c r="J841" i="5"/>
  <c r="K841" i="5" s="1"/>
  <c r="J839" i="5"/>
  <c r="K839" i="5" s="1"/>
  <c r="J837" i="5"/>
  <c r="K837" i="5" s="1"/>
  <c r="J835" i="5"/>
  <c r="K835" i="5" s="1"/>
  <c r="J833" i="5"/>
  <c r="K833" i="5" s="1"/>
  <c r="J830" i="5"/>
  <c r="K830" i="5" s="1"/>
  <c r="J828" i="5"/>
  <c r="K828" i="5" s="1"/>
  <c r="J826" i="5"/>
  <c r="K826" i="5" s="1"/>
  <c r="J824" i="5"/>
  <c r="K824" i="5" s="1"/>
  <c r="J820" i="5"/>
  <c r="K820" i="5" s="1"/>
  <c r="J817" i="5"/>
  <c r="K817" i="5" s="1"/>
  <c r="J815" i="5"/>
  <c r="K815" i="5" s="1"/>
  <c r="J813" i="5"/>
  <c r="K813" i="5" s="1"/>
  <c r="J811" i="5"/>
  <c r="K811" i="5" s="1"/>
  <c r="J809" i="5"/>
  <c r="K809" i="5" s="1"/>
  <c r="J807" i="5"/>
  <c r="K807" i="5" s="1"/>
  <c r="J805" i="5"/>
  <c r="K805" i="5" s="1"/>
  <c r="J803" i="5"/>
  <c r="K803" i="5" s="1"/>
  <c r="J801" i="5"/>
  <c r="K801" i="5" s="1"/>
  <c r="J799" i="5"/>
  <c r="K799" i="5" s="1"/>
  <c r="J797" i="5"/>
  <c r="K797" i="5" s="1"/>
  <c r="J795" i="5"/>
  <c r="K795" i="5" s="1"/>
  <c r="J793" i="5"/>
  <c r="K793" i="5" s="1"/>
  <c r="J791" i="5"/>
  <c r="K791" i="5" s="1"/>
  <c r="J789" i="5"/>
  <c r="K789" i="5" s="1"/>
  <c r="J787" i="5"/>
  <c r="K787" i="5" s="1"/>
  <c r="J785" i="5"/>
  <c r="K785" i="5" s="1"/>
  <c r="J783" i="5"/>
  <c r="K783" i="5" s="1"/>
  <c r="J780" i="5"/>
  <c r="J778" i="5"/>
  <c r="J777" i="5"/>
  <c r="J776" i="5"/>
  <c r="J775" i="5"/>
  <c r="J774" i="5"/>
  <c r="J773" i="5"/>
  <c r="J772" i="5"/>
  <c r="J771" i="5"/>
  <c r="J770" i="5"/>
  <c r="J769" i="5"/>
  <c r="K769" i="5" s="1"/>
  <c r="J768" i="5"/>
  <c r="K768" i="5" s="1"/>
  <c r="J767" i="5"/>
  <c r="J766" i="5"/>
  <c r="J765" i="5"/>
  <c r="J764" i="5"/>
  <c r="J763" i="5"/>
  <c r="J762" i="5"/>
  <c r="J761" i="5"/>
  <c r="J760" i="5"/>
  <c r="J759" i="5"/>
  <c r="J758" i="5"/>
  <c r="J757" i="5"/>
  <c r="J756" i="5"/>
  <c r="J755" i="5"/>
  <c r="J753" i="5"/>
  <c r="J752" i="5"/>
  <c r="J751" i="5"/>
  <c r="J747" i="5"/>
  <c r="J746" i="5"/>
  <c r="J745" i="5"/>
  <c r="J744" i="5"/>
  <c r="J743" i="5"/>
  <c r="J742" i="5"/>
  <c r="J741" i="5"/>
  <c r="J740" i="5"/>
  <c r="J739" i="5"/>
  <c r="J738" i="5"/>
  <c r="J737" i="5"/>
  <c r="J736" i="5"/>
  <c r="J735" i="5"/>
  <c r="J734" i="5"/>
  <c r="J733" i="5"/>
  <c r="J732" i="5"/>
  <c r="K722" i="5"/>
  <c r="K721" i="5"/>
  <c r="K720" i="5"/>
  <c r="J719" i="5"/>
  <c r="J717" i="5"/>
  <c r="J716" i="5"/>
  <c r="J715" i="5"/>
  <c r="J714" i="5"/>
  <c r="J713" i="5"/>
  <c r="J712" i="5"/>
  <c r="J711" i="5"/>
  <c r="K711" i="5" s="1"/>
  <c r="J710" i="5"/>
  <c r="K710" i="5" s="1"/>
  <c r="J709" i="5"/>
  <c r="J708" i="5"/>
  <c r="J707" i="5"/>
  <c r="J706" i="5"/>
  <c r="J705" i="5"/>
  <c r="J704" i="5"/>
  <c r="J703" i="5"/>
  <c r="J702" i="5"/>
  <c r="J701" i="5"/>
  <c r="K700" i="5"/>
  <c r="J699" i="5"/>
  <c r="J698" i="5"/>
  <c r="J697" i="5"/>
  <c r="J696" i="5"/>
  <c r="J695" i="5"/>
  <c r="J694" i="5"/>
  <c r="J693" i="5"/>
  <c r="J692" i="5"/>
  <c r="J691" i="5"/>
  <c r="J689" i="5"/>
  <c r="J688" i="5"/>
  <c r="K688" i="5" s="1"/>
  <c r="J687" i="5"/>
  <c r="K687" i="5" s="1"/>
  <c r="J686" i="5"/>
  <c r="K686" i="5" s="1"/>
  <c r="J685" i="5"/>
  <c r="K685" i="5" s="1"/>
  <c r="J684" i="5"/>
  <c r="K684" i="5" s="1"/>
  <c r="J683" i="5"/>
  <c r="K683" i="5" s="1"/>
  <c r="J679" i="5"/>
  <c r="J678" i="5"/>
  <c r="J677" i="5"/>
  <c r="K677" i="5" s="1"/>
  <c r="J676" i="5"/>
  <c r="J675" i="5"/>
  <c r="J674" i="5"/>
  <c r="J673" i="5"/>
  <c r="K673" i="5" s="1"/>
  <c r="J672" i="5"/>
  <c r="J671" i="5"/>
  <c r="J670" i="5"/>
  <c r="J669" i="5"/>
  <c r="J668" i="5"/>
  <c r="J667" i="5"/>
  <c r="J666" i="5"/>
  <c r="J665" i="5"/>
  <c r="J664" i="5"/>
  <c r="J663" i="5"/>
  <c r="J662" i="5"/>
  <c r="J661" i="5"/>
  <c r="J660" i="5"/>
  <c r="J659" i="5"/>
  <c r="J658" i="5"/>
  <c r="J657" i="5"/>
  <c r="J656" i="5"/>
  <c r="J655" i="5"/>
  <c r="K655" i="5" s="1"/>
  <c r="J654" i="5"/>
  <c r="K654" i="5" s="1"/>
  <c r="J653" i="5"/>
  <c r="J652" i="5"/>
  <c r="K652" i="5" s="1"/>
  <c r="J651" i="5"/>
  <c r="J650" i="5"/>
  <c r="K650" i="5" s="1"/>
  <c r="J649" i="5"/>
  <c r="K649" i="5" s="1"/>
  <c r="J648" i="5"/>
  <c r="K648" i="5" s="1"/>
  <c r="J647" i="5"/>
  <c r="J646" i="5"/>
  <c r="J645" i="5"/>
  <c r="K645" i="5" s="1"/>
  <c r="J644" i="5"/>
  <c r="J643" i="5"/>
  <c r="J636" i="5"/>
  <c r="J632" i="5"/>
  <c r="J631" i="5"/>
  <c r="J630" i="5"/>
  <c r="J629" i="5"/>
  <c r="J628" i="5"/>
  <c r="J627" i="5"/>
  <c r="J626" i="5"/>
  <c r="J625" i="5"/>
  <c r="J624" i="5"/>
  <c r="J623" i="5"/>
  <c r="J622" i="5"/>
  <c r="J620" i="5"/>
  <c r="J618" i="5"/>
  <c r="J617" i="5"/>
  <c r="J616" i="5"/>
  <c r="J615" i="5"/>
  <c r="J614" i="5"/>
  <c r="J613" i="5"/>
  <c r="J612" i="5"/>
  <c r="J611" i="5"/>
  <c r="J610" i="5"/>
  <c r="J609" i="5"/>
  <c r="J608" i="5"/>
  <c r="J606" i="5"/>
  <c r="J605" i="5"/>
  <c r="J604" i="5"/>
  <c r="J602" i="5"/>
  <c r="J601" i="5"/>
  <c r="J600" i="5"/>
  <c r="J599" i="5"/>
  <c r="J597" i="5"/>
  <c r="J596" i="5"/>
  <c r="J594" i="5"/>
  <c r="J592" i="5"/>
  <c r="K592" i="5" s="1"/>
  <c r="J591" i="5"/>
  <c r="K591" i="5" s="1"/>
  <c r="J590" i="5"/>
  <c r="K590" i="5" s="1"/>
  <c r="J589" i="5"/>
  <c r="K589" i="5" s="1"/>
  <c r="J588" i="5"/>
  <c r="J582" i="5"/>
  <c r="J579" i="5"/>
  <c r="J578" i="5"/>
  <c r="J577" i="5"/>
  <c r="J576" i="5"/>
  <c r="J574" i="5"/>
  <c r="J573" i="5"/>
  <c r="J572" i="5"/>
  <c r="J570" i="5"/>
  <c r="J569" i="5"/>
  <c r="J567" i="5"/>
  <c r="J566" i="5"/>
  <c r="J565" i="5"/>
  <c r="J563" i="5"/>
  <c r="J562" i="5"/>
  <c r="J561" i="5"/>
  <c r="J559" i="5"/>
  <c r="J558" i="5"/>
  <c r="J557" i="5"/>
  <c r="J555" i="5"/>
  <c r="J554" i="5"/>
  <c r="J553" i="5"/>
  <c r="J551" i="5"/>
  <c r="J550" i="5"/>
  <c r="J549" i="5"/>
  <c r="J547" i="5"/>
  <c r="J546" i="5"/>
  <c r="J545" i="5"/>
  <c r="J543" i="5"/>
  <c r="J542" i="5"/>
  <c r="J541" i="5"/>
  <c r="J539" i="5"/>
  <c r="J538" i="5"/>
  <c r="J537" i="5"/>
  <c r="J535" i="5"/>
  <c r="J534" i="5"/>
  <c r="J533" i="5"/>
  <c r="K533" i="5" s="1"/>
  <c r="J532" i="5"/>
  <c r="K532" i="5" s="1"/>
  <c r="J531" i="5"/>
  <c r="J530" i="5"/>
  <c r="J529" i="5"/>
  <c r="J528" i="5"/>
  <c r="J526" i="5"/>
  <c r="J525" i="5"/>
  <c r="J524" i="5"/>
  <c r="J510" i="5"/>
  <c r="J509" i="5"/>
  <c r="J508" i="5"/>
  <c r="J507" i="5"/>
  <c r="J506" i="5"/>
  <c r="J505" i="5"/>
  <c r="J504" i="5"/>
  <c r="J503" i="5"/>
  <c r="J502" i="5"/>
  <c r="J501" i="5"/>
  <c r="J500" i="5"/>
  <c r="J499" i="5"/>
  <c r="J468" i="5"/>
  <c r="J466" i="5"/>
  <c r="J465" i="5"/>
  <c r="J464" i="5"/>
  <c r="J463" i="5"/>
  <c r="K463" i="5" s="1"/>
  <c r="J462" i="5"/>
  <c r="K462" i="5" s="1"/>
  <c r="J460" i="5"/>
  <c r="J459" i="5"/>
  <c r="J457" i="5"/>
  <c r="K457" i="5" s="1"/>
  <c r="K456" i="5"/>
  <c r="J456" i="5"/>
  <c r="J455" i="5"/>
  <c r="K455" i="5" s="1"/>
  <c r="J454" i="5"/>
  <c r="K454" i="5" s="1"/>
  <c r="J453" i="5"/>
  <c r="K453" i="5" s="1"/>
  <c r="J452" i="5"/>
  <c r="J451" i="5"/>
  <c r="K451" i="5" s="1"/>
  <c r="J450" i="5"/>
  <c r="K450" i="5" s="1"/>
  <c r="J449" i="5"/>
  <c r="K449" i="5" s="1"/>
  <c r="J448" i="5"/>
  <c r="K448" i="5" s="1"/>
  <c r="J447" i="5"/>
  <c r="J446" i="5"/>
  <c r="K446" i="5" s="1"/>
  <c r="J445" i="5"/>
  <c r="K445" i="5" s="1"/>
  <c r="J444" i="5"/>
  <c r="K444" i="5" s="1"/>
  <c r="K443" i="5"/>
  <c r="J443" i="5"/>
  <c r="J442" i="5"/>
  <c r="J441" i="5"/>
  <c r="K441" i="5" s="1"/>
  <c r="J440" i="5"/>
  <c r="K440" i="5" s="1"/>
  <c r="J439" i="5"/>
  <c r="K439" i="5" s="1"/>
  <c r="J438" i="5"/>
  <c r="K438" i="5" s="1"/>
  <c r="J437" i="5"/>
  <c r="J436" i="5"/>
  <c r="K436" i="5" s="1"/>
  <c r="J435" i="5"/>
  <c r="K435" i="5" s="1"/>
  <c r="K434" i="5"/>
  <c r="J434" i="5"/>
  <c r="J433" i="5"/>
  <c r="K433" i="5" s="1"/>
  <c r="J432" i="5"/>
  <c r="J431" i="5"/>
  <c r="K431" i="5" s="1"/>
  <c r="J430" i="5"/>
  <c r="K430" i="5" s="1"/>
  <c r="J429" i="5"/>
  <c r="K429" i="5" s="1"/>
  <c r="J428" i="5"/>
  <c r="K428" i="5" s="1"/>
  <c r="J427" i="5"/>
  <c r="J426" i="5"/>
  <c r="K426" i="5" s="1"/>
  <c r="K425" i="5"/>
  <c r="J425" i="5"/>
  <c r="J424" i="5"/>
  <c r="K424" i="5" s="1"/>
  <c r="J423" i="5"/>
  <c r="K423" i="5" s="1"/>
  <c r="J422" i="5"/>
  <c r="J421" i="5"/>
  <c r="K421" i="5" s="1"/>
  <c r="J420" i="5"/>
  <c r="K420" i="5" s="1"/>
  <c r="J419" i="5"/>
  <c r="K419" i="5" s="1"/>
  <c r="J418" i="5"/>
  <c r="K418" i="5" s="1"/>
  <c r="J417" i="5"/>
  <c r="K416" i="5"/>
  <c r="J416" i="5"/>
  <c r="J415" i="5"/>
  <c r="K415" i="5" s="1"/>
  <c r="J414" i="5"/>
  <c r="K414" i="5" s="1"/>
  <c r="J413" i="5"/>
  <c r="K413" i="5" s="1"/>
  <c r="J412" i="5"/>
  <c r="K408" i="5"/>
  <c r="J346" i="5"/>
  <c r="K346" i="5" s="1"/>
  <c r="J343" i="5"/>
  <c r="J338" i="5"/>
  <c r="J336" i="5"/>
  <c r="J334" i="5"/>
  <c r="K334" i="5" s="1"/>
  <c r="J333" i="5"/>
  <c r="K333" i="5" s="1"/>
  <c r="J332" i="5"/>
  <c r="K332" i="5" s="1"/>
  <c r="J331" i="5"/>
  <c r="K331" i="5" s="1"/>
  <c r="J330" i="5"/>
  <c r="K330" i="5" s="1"/>
  <c r="J329" i="5"/>
  <c r="K329" i="5" s="1"/>
  <c r="J328" i="5"/>
  <c r="J327" i="5"/>
  <c r="J325" i="5"/>
  <c r="K325" i="5" s="1"/>
  <c r="J324" i="5"/>
  <c r="K324" i="5" s="1"/>
  <c r="J323" i="5"/>
  <c r="K323" i="5" s="1"/>
  <c r="J322" i="5"/>
  <c r="K322" i="5" s="1"/>
  <c r="J321" i="5"/>
  <c r="K321" i="5" s="1"/>
  <c r="J320" i="5"/>
  <c r="K320" i="5" s="1"/>
  <c r="J319" i="5"/>
  <c r="J318" i="5"/>
  <c r="J316" i="5"/>
  <c r="K316" i="5" s="1"/>
  <c r="J315" i="5"/>
  <c r="K315" i="5" s="1"/>
  <c r="J314" i="5"/>
  <c r="K314" i="5" s="1"/>
  <c r="J313" i="5"/>
  <c r="K313" i="5" s="1"/>
  <c r="J312" i="5"/>
  <c r="K312" i="5" s="1"/>
  <c r="J311" i="5"/>
  <c r="K311" i="5" s="1"/>
  <c r="J310" i="5"/>
  <c r="J309" i="5"/>
  <c r="J307" i="5"/>
  <c r="K307" i="5" s="1"/>
  <c r="J306" i="5"/>
  <c r="K306" i="5" s="1"/>
  <c r="J305" i="5"/>
  <c r="K305" i="5" s="1"/>
  <c r="J304" i="5"/>
  <c r="K304" i="5" s="1"/>
  <c r="J303" i="5"/>
  <c r="K303" i="5" s="1"/>
  <c r="J302" i="5"/>
  <c r="K302" i="5" s="1"/>
  <c r="J301" i="5"/>
  <c r="J300" i="5"/>
  <c r="J298" i="5"/>
  <c r="K298" i="5" s="1"/>
  <c r="J297" i="5"/>
  <c r="K297" i="5" s="1"/>
  <c r="J296" i="5"/>
  <c r="K296" i="5" s="1"/>
  <c r="J295" i="5"/>
  <c r="K295" i="5" s="1"/>
  <c r="J294" i="5"/>
  <c r="K294" i="5" s="1"/>
  <c r="J293" i="5"/>
  <c r="K293" i="5" s="1"/>
  <c r="J292" i="5"/>
  <c r="J290" i="5"/>
  <c r="J288" i="5"/>
  <c r="K288" i="5" s="1"/>
  <c r="J287" i="5"/>
  <c r="K287" i="5" s="1"/>
  <c r="J286" i="5"/>
  <c r="K286" i="5" s="1"/>
  <c r="J285" i="5"/>
  <c r="K285" i="5" s="1"/>
  <c r="J284" i="5"/>
  <c r="K284" i="5" s="1"/>
  <c r="J283" i="5"/>
  <c r="K283" i="5" s="1"/>
  <c r="J282" i="5"/>
  <c r="J281" i="5"/>
  <c r="J279" i="5"/>
  <c r="K279" i="5" s="1"/>
  <c r="J278" i="5"/>
  <c r="K278" i="5" s="1"/>
  <c r="J277" i="5"/>
  <c r="K277" i="5" s="1"/>
  <c r="J276" i="5"/>
  <c r="K276" i="5" s="1"/>
  <c r="J275" i="5"/>
  <c r="K275" i="5" s="1"/>
  <c r="J274" i="5"/>
  <c r="K274" i="5" s="1"/>
  <c r="J273" i="5"/>
  <c r="J272" i="5"/>
  <c r="J270" i="5"/>
  <c r="K270" i="5" s="1"/>
  <c r="J269" i="5"/>
  <c r="K269" i="5" s="1"/>
  <c r="J268" i="5"/>
  <c r="K268" i="5" s="1"/>
  <c r="J267" i="5"/>
  <c r="K267" i="5" s="1"/>
  <c r="J266" i="5"/>
  <c r="K266" i="5" s="1"/>
  <c r="J265" i="5"/>
  <c r="K265" i="5" s="1"/>
  <c r="J264" i="5"/>
  <c r="J263" i="5"/>
  <c r="J261" i="5"/>
  <c r="K261" i="5" s="1"/>
  <c r="J260" i="5"/>
  <c r="K260" i="5" s="1"/>
  <c r="J259" i="5"/>
  <c r="K259" i="5" s="1"/>
  <c r="J258" i="5"/>
  <c r="K258" i="5" s="1"/>
  <c r="J257" i="5"/>
  <c r="K257" i="5" s="1"/>
  <c r="J256" i="5"/>
  <c r="K256" i="5" s="1"/>
  <c r="J255" i="5"/>
  <c r="J253" i="5"/>
  <c r="K242" i="5"/>
  <c r="K241" i="5"/>
  <c r="K240" i="5"/>
  <c r="K239" i="5"/>
  <c r="K238" i="5"/>
  <c r="K237" i="5"/>
  <c r="K233" i="5"/>
  <c r="K232" i="5"/>
  <c r="K231" i="5"/>
  <c r="K230" i="5"/>
  <c r="K229" i="5"/>
  <c r="K228" i="5"/>
  <c r="K224" i="5"/>
  <c r="K223" i="5"/>
  <c r="K222" i="5"/>
  <c r="K221" i="5"/>
  <c r="K220" i="5"/>
  <c r="K219" i="5"/>
  <c r="K214" i="5"/>
  <c r="K213" i="5"/>
  <c r="K212" i="5"/>
  <c r="K211" i="5"/>
  <c r="K210" i="5"/>
  <c r="K206" i="5"/>
  <c r="K205" i="5"/>
  <c r="K204" i="5"/>
  <c r="K203" i="5"/>
  <c r="K202" i="5"/>
  <c r="K201" i="5"/>
  <c r="J197" i="5"/>
  <c r="K197" i="5" s="1"/>
  <c r="J196" i="5"/>
  <c r="K196" i="5" s="1"/>
  <c r="J195" i="5"/>
  <c r="K195" i="5" s="1"/>
  <c r="J194" i="5"/>
  <c r="K194" i="5" s="1"/>
  <c r="J193" i="5"/>
  <c r="K193" i="5" s="1"/>
  <c r="J192" i="5"/>
  <c r="K192" i="5" s="1"/>
  <c r="J191" i="5"/>
  <c r="J190" i="5"/>
  <c r="J188" i="5"/>
  <c r="K188" i="5" s="1"/>
  <c r="J187" i="5"/>
  <c r="K187" i="5" s="1"/>
  <c r="J186" i="5"/>
  <c r="K186" i="5" s="1"/>
  <c r="J185" i="5"/>
  <c r="K185" i="5" s="1"/>
  <c r="J184" i="5"/>
  <c r="K184" i="5" s="1"/>
  <c r="J183" i="5"/>
  <c r="K183" i="5" s="1"/>
  <c r="J182" i="5"/>
  <c r="J178" i="5"/>
  <c r="J177" i="5"/>
  <c r="J176" i="5"/>
  <c r="J175" i="5"/>
  <c r="J174" i="5"/>
  <c r="J173" i="5"/>
  <c r="J172" i="5"/>
  <c r="J171" i="5"/>
  <c r="J170" i="5"/>
  <c r="J168" i="5"/>
  <c r="J167" i="5"/>
  <c r="J166" i="5"/>
  <c r="J165" i="5"/>
  <c r="J164" i="5"/>
  <c r="J163" i="5"/>
  <c r="J162" i="5"/>
  <c r="J161" i="5"/>
  <c r="J160" i="5"/>
  <c r="J158" i="5"/>
  <c r="J157" i="5"/>
  <c r="J156" i="5"/>
  <c r="J155" i="5"/>
  <c r="J154" i="5"/>
  <c r="J153" i="5"/>
  <c r="J152" i="5"/>
  <c r="J151" i="5"/>
  <c r="J150" i="5"/>
  <c r="J149" i="5"/>
  <c r="J148" i="5"/>
  <c r="J146" i="5"/>
  <c r="J145" i="5"/>
  <c r="J144" i="5"/>
  <c r="J143" i="5"/>
  <c r="J142" i="5"/>
  <c r="J141" i="5"/>
  <c r="J140" i="5"/>
  <c r="J139" i="5"/>
  <c r="J138" i="5"/>
  <c r="J137" i="5"/>
  <c r="J136" i="5"/>
  <c r="J135" i="5"/>
  <c r="J134" i="5"/>
  <c r="J133" i="5"/>
  <c r="J132" i="5"/>
  <c r="J131" i="5"/>
  <c r="J128" i="5"/>
  <c r="J124" i="5"/>
  <c r="K124" i="5" s="1"/>
  <c r="J123" i="5"/>
  <c r="K123" i="5" s="1"/>
  <c r="J122" i="5"/>
  <c r="K122" i="5" s="1"/>
  <c r="J121" i="5"/>
  <c r="K121" i="5" s="1"/>
  <c r="J120" i="5"/>
  <c r="K120" i="5" s="1"/>
  <c r="J119" i="5"/>
  <c r="K119" i="5" s="1"/>
  <c r="J118" i="5"/>
  <c r="K118" i="5" s="1"/>
  <c r="J117" i="5"/>
  <c r="K117" i="5" s="1"/>
  <c r="J116" i="5"/>
  <c r="K116" i="5" s="1"/>
  <c r="J115" i="5"/>
  <c r="J113" i="5"/>
  <c r="K113" i="5" s="1"/>
  <c r="J112" i="5"/>
  <c r="K112" i="5" s="1"/>
  <c r="J111" i="5"/>
  <c r="J110" i="5"/>
  <c r="K110" i="5" s="1"/>
  <c r="J109" i="5"/>
  <c r="K109" i="5" s="1"/>
  <c r="K107" i="5"/>
  <c r="J106" i="5"/>
  <c r="K106" i="5" s="1"/>
  <c r="J105" i="5"/>
  <c r="K105" i="5" s="1"/>
  <c r="J104" i="5"/>
  <c r="K104" i="5" s="1"/>
  <c r="J103" i="5"/>
  <c r="K103" i="5" s="1"/>
  <c r="J102" i="5"/>
  <c r="K102" i="5" s="1"/>
  <c r="J101" i="5"/>
  <c r="K101" i="5" s="1"/>
  <c r="J100" i="5"/>
  <c r="K100" i="5" s="1"/>
  <c r="J98" i="5"/>
  <c r="K98" i="5" s="1"/>
  <c r="J97" i="5"/>
  <c r="J95" i="5"/>
  <c r="K95" i="5" s="1"/>
  <c r="J94" i="5"/>
  <c r="J92" i="5"/>
  <c r="J91" i="5"/>
  <c r="J90" i="5"/>
  <c r="J89" i="5"/>
  <c r="J87" i="5"/>
  <c r="J86" i="5"/>
  <c r="K86" i="5" s="1"/>
  <c r="J74" i="5"/>
  <c r="K74" i="5" s="1"/>
  <c r="J73" i="5"/>
  <c r="J72" i="5"/>
  <c r="K72" i="5" s="1"/>
  <c r="J71" i="5"/>
  <c r="J69" i="5"/>
  <c r="K69" i="5" s="1"/>
  <c r="J68" i="5"/>
  <c r="J67" i="5"/>
  <c r="K67" i="5" s="1"/>
  <c r="J66" i="5"/>
  <c r="K66" i="5" s="1"/>
  <c r="J65" i="5"/>
  <c r="K65" i="5" s="1"/>
  <c r="J63" i="5"/>
  <c r="J61" i="5"/>
  <c r="J60" i="5"/>
  <c r="J59" i="5"/>
  <c r="J57" i="5"/>
  <c r="J55" i="5"/>
  <c r="J53" i="5"/>
  <c r="J51" i="5"/>
  <c r="J49" i="5"/>
  <c r="J48" i="5"/>
  <c r="J47" i="5"/>
  <c r="J46" i="5"/>
  <c r="J45" i="5"/>
  <c r="J44" i="5"/>
  <c r="J43" i="5"/>
  <c r="J42" i="5"/>
  <c r="J41" i="5"/>
  <c r="J40" i="5"/>
  <c r="J39" i="5"/>
  <c r="J38" i="5"/>
  <c r="J37" i="5"/>
  <c r="J36" i="5"/>
  <c r="K27" i="5"/>
  <c r="J25" i="5"/>
  <c r="K25" i="5" s="1"/>
  <c r="J24" i="5"/>
  <c r="K24" i="5" s="1"/>
  <c r="J23" i="5"/>
  <c r="J21" i="5"/>
  <c r="K21" i="5" s="1"/>
  <c r="J20" i="5"/>
  <c r="K20" i="5" s="1"/>
  <c r="J19" i="5"/>
  <c r="J18" i="5"/>
  <c r="K18" i="5" s="1"/>
  <c r="J17" i="5"/>
  <c r="K17" i="5" s="1"/>
  <c r="J16" i="5"/>
  <c r="J15" i="5"/>
  <c r="K15" i="5" s="1"/>
  <c r="J14" i="5"/>
  <c r="K14" i="5" s="1"/>
  <c r="J13" i="5"/>
  <c r="J11" i="5"/>
  <c r="K11" i="5" s="1"/>
  <c r="J10" i="5"/>
  <c r="K10" i="5" s="1"/>
  <c r="J9" i="5"/>
  <c r="K9" i="5" s="1"/>
  <c r="J8" i="5"/>
  <c r="K8" i="5" s="1"/>
  <c r="J7" i="5"/>
  <c r="K7" i="5" s="1"/>
  <c r="J6" i="5"/>
  <c r="K583" i="5" l="1"/>
  <c r="K586" i="5"/>
  <c r="K584" i="5"/>
  <c r="K585" i="5"/>
  <c r="F637" i="5"/>
  <c r="J637" i="5" s="1"/>
  <c r="F633" i="5"/>
  <c r="J633" i="5" s="1"/>
  <c r="F1526" i="5"/>
  <c r="J1526" i="5" s="1"/>
  <c r="F1391" i="5"/>
  <c r="J1391" i="5" s="1"/>
  <c r="F1390" i="5"/>
  <c r="J1390" i="5" s="1"/>
  <c r="F1255" i="5"/>
  <c r="J1255" i="5" s="1"/>
  <c r="F1234" i="5"/>
  <c r="J1234" i="5" s="1"/>
  <c r="F634" i="5"/>
  <c r="J634" i="5" s="1"/>
  <c r="J511" i="5"/>
  <c r="F497" i="5"/>
  <c r="J497" i="5" s="1"/>
  <c r="F496" i="5"/>
  <c r="J496" i="5" s="1"/>
  <c r="F93" i="5"/>
  <c r="J93" i="5" s="1"/>
  <c r="A13" i="5"/>
  <c r="A16" i="5" s="1"/>
  <c r="A19" i="5" s="1"/>
  <c r="A23" i="5" s="1"/>
  <c r="A26" i="5" s="1"/>
  <c r="A29" i="5" s="1"/>
  <c r="A32" i="5" s="1"/>
  <c r="A34" i="5" s="1"/>
  <c r="A36" i="5" s="1"/>
  <c r="A38" i="5" s="1"/>
  <c r="A40" i="5" s="1"/>
  <c r="A42" i="5" s="1"/>
  <c r="A44" i="5" s="1"/>
  <c r="A46" i="5" s="1"/>
  <c r="A48" i="5" s="1"/>
  <c r="A49" i="5" s="1"/>
  <c r="A51" i="5" s="1"/>
  <c r="A53" i="5" s="1"/>
  <c r="A55" i="5" s="1"/>
  <c r="A57" i="5" s="1"/>
  <c r="A59" i="5" s="1"/>
  <c r="A61" i="5" s="1"/>
  <c r="A63" i="5" s="1"/>
  <c r="A65" i="5" s="1"/>
  <c r="A68" i="5" s="1"/>
  <c r="A71" i="5" s="1"/>
  <c r="A73" i="5" s="1"/>
  <c r="A89" i="5" s="1"/>
  <c r="A90" i="5" s="1"/>
  <c r="A91" i="5" s="1"/>
  <c r="A92" i="5" s="1"/>
  <c r="A93" i="5" s="1"/>
  <c r="A97" i="5" s="1"/>
  <c r="A102" i="5" s="1"/>
  <c r="A108" i="5" s="1"/>
  <c r="A109" i="5" s="1"/>
  <c r="A112" i="5" s="1"/>
  <c r="A113" i="5" s="1"/>
  <c r="A115" i="5" s="1"/>
  <c r="A128" i="5" s="1"/>
  <c r="A131" i="5" s="1"/>
  <c r="A148" i="5" s="1"/>
  <c r="A158" i="5" s="1"/>
  <c r="A160" i="5" s="1"/>
  <c r="A170" i="5" s="1"/>
  <c r="A182" i="5" s="1"/>
  <c r="A191" i="5" s="1"/>
  <c r="A200" i="5" s="1"/>
  <c r="A209" i="5" s="1"/>
  <c r="A218" i="5" s="1"/>
  <c r="A227" i="5" s="1"/>
  <c r="A236" i="5" s="1"/>
  <c r="A245" i="5" s="1"/>
  <c r="A255" i="5" s="1"/>
  <c r="A264" i="5" s="1"/>
  <c r="A273" i="5" s="1"/>
  <c r="A282" i="5" s="1"/>
  <c r="A292" i="5" s="1"/>
  <c r="A301" i="5" s="1"/>
  <c r="A310" i="5" s="1"/>
  <c r="A319" i="5" s="1"/>
  <c r="A328" i="5" s="1"/>
  <c r="A338" i="5" s="1"/>
  <c r="A340" i="5" s="1"/>
  <c r="A343" i="5" s="1"/>
  <c r="A346" i="5" s="1"/>
  <c r="A349" i="5" s="1"/>
  <c r="A352" i="5" s="1"/>
  <c r="A355" i="5" s="1"/>
  <c r="A358" i="5" s="1"/>
  <c r="A361" i="5" s="1"/>
  <c r="A366" i="5" s="1"/>
  <c r="A369" i="5" s="1"/>
  <c r="A372" i="5" s="1"/>
  <c r="A375" i="5" s="1"/>
  <c r="A378" i="5" s="1"/>
  <c r="A381" i="5" s="1"/>
  <c r="A386" i="5" s="1"/>
  <c r="A389" i="5" s="1"/>
  <c r="A392" i="5" s="1"/>
  <c r="A395" i="5" s="1"/>
  <c r="A398" i="5" s="1"/>
  <c r="A401" i="5" s="1"/>
  <c r="A404" i="5" s="1"/>
  <c r="A407" i="5" s="1"/>
  <c r="A412" i="5" s="1"/>
  <c r="A417" i="5" s="1"/>
  <c r="A422" i="5" s="1"/>
  <c r="A427" i="5" s="1"/>
  <c r="A432" i="5" s="1"/>
  <c r="A437" i="5" s="1"/>
  <c r="A442" i="5" s="1"/>
  <c r="A447" i="5" s="1"/>
  <c r="A452" i="5" s="1"/>
  <c r="A459" i="5" s="1"/>
  <c r="A461" i="5" s="1"/>
  <c r="A464" i="5" s="1"/>
  <c r="A466" i="5" s="1"/>
  <c r="A467" i="5" s="1"/>
  <c r="A468" i="5" s="1"/>
  <c r="A471" i="5" s="1"/>
  <c r="A473" i="5" s="1"/>
  <c r="A475" i="5" s="1"/>
  <c r="A477" i="5" s="1"/>
  <c r="A479" i="5" s="1"/>
  <c r="A481" i="5" s="1"/>
  <c r="A483" i="5" s="1"/>
  <c r="A485" i="5" s="1"/>
  <c r="A487" i="5" s="1"/>
  <c r="A489" i="5" s="1"/>
  <c r="A491" i="5" s="1"/>
  <c r="A492" i="5" s="1"/>
  <c r="A494" i="5" s="1"/>
  <c r="A496" i="5" s="1"/>
  <c r="A499" i="5" s="1"/>
  <c r="A503" i="5" s="1"/>
  <c r="A508" i="5" s="1"/>
  <c r="A511" i="5" s="1"/>
  <c r="A513" i="5" s="1"/>
  <c r="A515" i="5" s="1"/>
  <c r="A517" i="5" s="1"/>
  <c r="A519" i="5" s="1"/>
  <c r="A521" i="5" s="1"/>
  <c r="A524" i="5" s="1"/>
  <c r="A528" i="5" s="1"/>
  <c r="A529" i="5" s="1"/>
  <c r="A530" i="5" s="1"/>
  <c r="A531" i="5" s="1"/>
  <c r="A537" i="5" s="1"/>
  <c r="A541" i="5" s="1"/>
  <c r="A545" i="5" s="1"/>
  <c r="A549" i="5" s="1"/>
  <c r="A553" i="5" s="1"/>
  <c r="A557" i="5" s="1"/>
  <c r="A561" i="5" s="1"/>
  <c r="A565" i="5" s="1"/>
  <c r="A569" i="5" s="1"/>
  <c r="A572" i="5" s="1"/>
  <c r="A576" i="5" s="1"/>
  <c r="A580" i="5" s="1"/>
  <c r="A582" i="5" s="1"/>
  <c r="A588" i="5" s="1"/>
  <c r="A594" i="5" s="1"/>
  <c r="A596" i="5" s="1"/>
  <c r="A597" i="5" s="1"/>
  <c r="A599" i="5" s="1"/>
  <c r="A600" i="5" s="1"/>
  <c r="A601" i="5" s="1"/>
  <c r="A602" i="5" s="1"/>
  <c r="A604" i="5" s="1"/>
  <c r="A605" i="5" s="1"/>
  <c r="A608" i="5" s="1"/>
  <c r="A609" i="5" s="1"/>
  <c r="A618" i="5" s="1"/>
  <c r="A620" i="5" s="1"/>
  <c r="A622" i="5" s="1"/>
  <c r="A636" i="5" s="1"/>
  <c r="A638" i="5" s="1"/>
  <c r="A643" i="5" s="1"/>
  <c r="A646" i="5" s="1"/>
  <c r="A647" i="5" s="1"/>
  <c r="A651" i="5" s="1"/>
  <c r="A653" i="5" s="1"/>
  <c r="A656" i="5" s="1"/>
  <c r="A657" i="5" s="1"/>
  <c r="A658" i="5" s="1"/>
  <c r="A659" i="5" s="1"/>
  <c r="A669" i="5" s="1"/>
  <c r="A672" i="5" s="1"/>
  <c r="A674" i="5" s="1"/>
  <c r="A678" i="5" s="1"/>
  <c r="A681" i="5" s="1"/>
  <c r="A683" i="5" s="1"/>
  <c r="A685" i="5" s="1"/>
  <c r="A687" i="5" s="1"/>
  <c r="A689" i="5" s="1"/>
  <c r="A691" i="5" s="1"/>
  <c r="A693" i="5" s="1"/>
  <c r="A701" i="5" s="1"/>
  <c r="A708" i="5" s="1"/>
  <c r="A709" i="5" s="1"/>
  <c r="A712" i="5" s="1"/>
  <c r="A717" i="5" s="1"/>
  <c r="A719" i="5" s="1"/>
  <c r="A723" i="5" s="1"/>
  <c r="A732" i="5" s="1"/>
  <c r="A734" i="5" s="1"/>
  <c r="A736" i="5" s="1"/>
  <c r="A746" i="5" s="1"/>
  <c r="A749" i="5" s="1"/>
  <c r="A755" i="5" s="1"/>
  <c r="A765" i="5" s="1"/>
  <c r="A767" i="5" s="1"/>
  <c r="A770" i="5" s="1"/>
  <c r="A778" i="5" s="1"/>
  <c r="A780" i="5" s="1"/>
  <c r="A782" i="5" s="1"/>
  <c r="A784" i="5" s="1"/>
  <c r="A786" i="5" s="1"/>
  <c r="A788" i="5" s="1"/>
  <c r="A790" i="5" s="1"/>
  <c r="A792" i="5" s="1"/>
  <c r="A794" i="5" s="1"/>
  <c r="A796" i="5" s="1"/>
  <c r="A798" i="5" s="1"/>
  <c r="A800" i="5" s="1"/>
  <c r="A802" i="5" s="1"/>
  <c r="A804" i="5" s="1"/>
  <c r="A806" i="5" s="1"/>
  <c r="A808" i="5" s="1"/>
  <c r="A810" i="5" s="1"/>
  <c r="A812" i="5" s="1"/>
  <c r="A814" i="5" s="1"/>
  <c r="A816" i="5" s="1"/>
  <c r="A818" i="5" s="1"/>
  <c r="A823" i="5" s="1"/>
  <c r="A825" i="5" s="1"/>
  <c r="A827" i="5" s="1"/>
  <c r="A829" i="5" s="1"/>
  <c r="A831" i="5" s="1"/>
  <c r="A834" i="5" s="1"/>
  <c r="A836" i="5" s="1"/>
  <c r="A838" i="5" s="1"/>
  <c r="A840" i="5" s="1"/>
  <c r="A842" i="5" s="1"/>
  <c r="A844" i="5" s="1"/>
  <c r="A846" i="5" s="1"/>
  <c r="A848" i="5" s="1"/>
  <c r="A851" i="5" s="1"/>
  <c r="A853" i="5" s="1"/>
  <c r="A855" i="5" s="1"/>
  <c r="A857" i="5" s="1"/>
  <c r="A859" i="5" s="1"/>
  <c r="A861" i="5" s="1"/>
  <c r="A863" i="5" s="1"/>
  <c r="A865" i="5" s="1"/>
  <c r="A867" i="5" s="1"/>
  <c r="A869" i="5" s="1"/>
  <c r="A871" i="5" s="1"/>
  <c r="A873" i="5" s="1"/>
  <c r="A875" i="5" s="1"/>
  <c r="A877" i="5" s="1"/>
  <c r="A879" i="5" s="1"/>
  <c r="A881" i="5" s="1"/>
  <c r="A883" i="5" s="1"/>
  <c r="A885" i="5" s="1"/>
  <c r="A887" i="5" s="1"/>
  <c r="A891" i="5" s="1"/>
  <c r="A893" i="5" s="1"/>
  <c r="A895" i="5" s="1"/>
  <c r="A897" i="5" s="1"/>
  <c r="A899" i="5" s="1"/>
  <c r="A901" i="5" s="1"/>
  <c r="A903" i="5" s="1"/>
  <c r="A905" i="5" s="1"/>
  <c r="A907" i="5" s="1"/>
  <c r="A909" i="5" s="1"/>
  <c r="A911" i="5" s="1"/>
  <c r="A913" i="5" s="1"/>
  <c r="A915" i="5" s="1"/>
  <c r="A917" i="5" s="1"/>
  <c r="A919" i="5" s="1"/>
  <c r="A921" i="5" s="1"/>
  <c r="A923" i="5" s="1"/>
  <c r="A925" i="5" s="1"/>
  <c r="A928" i="5" s="1"/>
  <c r="A930" i="5" s="1"/>
  <c r="A932" i="5" s="1"/>
  <c r="A934" i="5" s="1"/>
  <c r="A936" i="5" s="1"/>
  <c r="A940" i="5" s="1"/>
  <c r="A942" i="5" s="1"/>
  <c r="A944" i="5" s="1"/>
  <c r="A946" i="5" s="1"/>
  <c r="A948" i="5" s="1"/>
  <c r="A950" i="5" s="1"/>
  <c r="A952" i="5" s="1"/>
  <c r="A954" i="5" s="1"/>
  <c r="A956" i="5" s="1"/>
  <c r="A958" i="5" s="1"/>
  <c r="A960" i="5" s="1"/>
  <c r="A962" i="5" s="1"/>
  <c r="A964" i="5" s="1"/>
  <c r="A966" i="5" s="1"/>
  <c r="A968" i="5" s="1"/>
  <c r="A970" i="5" s="1"/>
  <c r="A972" i="5" s="1"/>
  <c r="A974" i="5" s="1"/>
  <c r="A976" i="5" s="1"/>
  <c r="A978" i="5" s="1"/>
  <c r="A980" i="5" s="1"/>
  <c r="A983" i="5" s="1"/>
  <c r="A985" i="5" s="1"/>
  <c r="A987" i="5" s="1"/>
  <c r="A989" i="5" s="1"/>
  <c r="A991" i="5" s="1"/>
  <c r="A995" i="5" s="1"/>
  <c r="A1005" i="5" s="1"/>
  <c r="A1015" i="5" s="1"/>
  <c r="A1021" i="5" s="1"/>
  <c r="A1022" i="5" s="1"/>
  <c r="A1024" i="5" s="1"/>
  <c r="A1028" i="5" s="1"/>
  <c r="A1029" i="5" s="1"/>
  <c r="A1031" i="5" s="1"/>
  <c r="A1043" i="5" s="1"/>
  <c r="A1045" i="5" s="1"/>
  <c r="A1047" i="5" s="1"/>
  <c r="A1049" i="5" s="1"/>
  <c r="A1053" i="5" s="1"/>
  <c r="A1056" i="5" s="1"/>
  <c r="A1060" i="5" s="1"/>
  <c r="A1063" i="5" s="1"/>
  <c r="A1067" i="5" s="1"/>
  <c r="A1070" i="5" s="1"/>
  <c r="A1074" i="5" s="1"/>
  <c r="A1077" i="5" s="1"/>
  <c r="A1082" i="5" s="1"/>
  <c r="A1085" i="5" s="1"/>
  <c r="A1089" i="5" s="1"/>
  <c r="A1092" i="5" s="1"/>
  <c r="A1096" i="5" s="1"/>
  <c r="A1099" i="5" s="1"/>
  <c r="A1103" i="5" s="1"/>
  <c r="A1106" i="5" s="1"/>
  <c r="A1110" i="5" s="1"/>
  <c r="A1114" i="5" s="1"/>
  <c r="A1119" i="5" s="1"/>
  <c r="A1123" i="5" s="1"/>
  <c r="A1128" i="5" s="1"/>
  <c r="A1132" i="5" s="1"/>
  <c r="A1137" i="5" s="1"/>
  <c r="A1141" i="5" s="1"/>
  <c r="A1146" i="5" s="1"/>
  <c r="A1150" i="5" s="1"/>
  <c r="A1155" i="5" s="1"/>
  <c r="A1159" i="5" s="1"/>
  <c r="A1164" i="5" s="1"/>
  <c r="A1166" i="5" s="1"/>
  <c r="A1168" i="5" s="1"/>
  <c r="A1171" i="5" s="1"/>
  <c r="A1175" i="5" s="1"/>
  <c r="A1178" i="5" s="1"/>
  <c r="A1181" i="5" s="1"/>
  <c r="A1185" i="5" s="1"/>
  <c r="A1186" i="5" s="1"/>
  <c r="A1189" i="5" s="1"/>
  <c r="A1194" i="5" s="1"/>
  <c r="A1199" i="5" s="1"/>
  <c r="A1207" i="5" s="1"/>
  <c r="A1216" i="5" s="1"/>
  <c r="A1223" i="5" s="1"/>
  <c r="A1227" i="5" s="1"/>
  <c r="A1232" i="5" s="1"/>
  <c r="A1234" i="5" s="1"/>
  <c r="A1235" i="5" s="1"/>
  <c r="A1245" i="5" s="1"/>
  <c r="A1247" i="5" s="1"/>
  <c r="A1249" i="5" s="1"/>
  <c r="A1257" i="5" s="1"/>
  <c r="A1259" i="5" s="1"/>
  <c r="A1266" i="5" s="1"/>
  <c r="A1271" i="5" s="1"/>
  <c r="A1276" i="5" s="1"/>
  <c r="A1288" i="5" s="1"/>
  <c r="A1290" i="5" s="1"/>
  <c r="A1294" i="5" s="1"/>
  <c r="A1299" i="5" s="1"/>
  <c r="A1304" i="5" s="1"/>
  <c r="A1309" i="5" s="1"/>
  <c r="A1314" i="5" s="1"/>
  <c r="A1318" i="5" s="1"/>
  <c r="A1324" i="5" s="1"/>
  <c r="A1329" i="5" s="1"/>
  <c r="A1334" i="5" s="1"/>
  <c r="A1339" i="5" s="1"/>
  <c r="A1344" i="5" s="1"/>
  <c r="A1349" i="5" s="1"/>
  <c r="A1354" i="5" s="1"/>
  <c r="A1359" i="5" s="1"/>
  <c r="A1364" i="5" s="1"/>
  <c r="A1366" i="5" s="1"/>
  <c r="A1368" i="5" s="1"/>
  <c r="A1372" i="5" s="1"/>
  <c r="A1376" i="5" s="1"/>
  <c r="A1378" i="5" s="1"/>
  <c r="A1380" i="5" s="1"/>
  <c r="A1382" i="5" s="1"/>
  <c r="A1384" i="5" s="1"/>
  <c r="A1386" i="5" s="1"/>
  <c r="A1388" i="5" s="1"/>
  <c r="A1390" i="5" s="1"/>
  <c r="A1393" i="5" s="1"/>
  <c r="A1397" i="5" s="1"/>
  <c r="A1403" i="5" s="1"/>
  <c r="A1408" i="5" s="1"/>
  <c r="A1413" i="5" s="1"/>
  <c r="A1418" i="5" s="1"/>
  <c r="A1419" i="5" s="1"/>
  <c r="A1422" i="5" s="1"/>
  <c r="A1425" i="5" s="1"/>
  <c r="A1428" i="5" s="1"/>
  <c r="A1431" i="5" s="1"/>
  <c r="A1434" i="5" s="1"/>
  <c r="A1435" i="5" s="1"/>
  <c r="A1438" i="5" s="1"/>
  <c r="A1441" i="5" s="1"/>
  <c r="A1444" i="5" s="1"/>
  <c r="A1447" i="5" s="1"/>
  <c r="A1450" i="5" s="1"/>
  <c r="A1451" i="5" s="1"/>
  <c r="A1455" i="5" s="1"/>
  <c r="A1459" i="5" s="1"/>
  <c r="A1463" i="5" s="1"/>
  <c r="A1467" i="5" s="1"/>
  <c r="A1471" i="5" s="1"/>
  <c r="A1472" i="5" s="1"/>
  <c r="A1476" i="5" s="1"/>
  <c r="A1480" i="5" s="1"/>
  <c r="A1484" i="5" s="1"/>
  <c r="A1488" i="5" s="1"/>
  <c r="A1494" i="5" s="1"/>
  <c r="A1495" i="5" s="1"/>
  <c r="A1506" i="5" s="1"/>
  <c r="A1507" i="5" s="1"/>
  <c r="A1508" i="5" s="1"/>
  <c r="A1510" i="5" s="1"/>
  <c r="A1511" i="5" s="1"/>
  <c r="A1513" i="5" s="1"/>
  <c r="A1514" i="5" s="1"/>
  <c r="A1518" i="5" s="1"/>
  <c r="A1519" i="5" s="1"/>
  <c r="A1520" i="5" s="1"/>
  <c r="A1521" i="5" s="1"/>
  <c r="A1523" i="5" s="1"/>
  <c r="A1524" i="5" s="1"/>
  <c r="A1527" i="5" s="1"/>
  <c r="A1528" i="5" s="1"/>
  <c r="A1529" i="5" s="1"/>
  <c r="D7" i="5"/>
  <c r="D8" i="5" s="1"/>
  <c r="D9" i="5" s="1"/>
  <c r="D10" i="5" s="1"/>
  <c r="D11" i="5" s="1"/>
  <c r="D13" i="5" s="1"/>
  <c r="D14" i="5" s="1"/>
  <c r="D15" i="5" s="1"/>
  <c r="D16" i="5" s="1"/>
  <c r="D17" i="5" s="1"/>
  <c r="D18" i="5" s="1"/>
  <c r="D19" i="5" s="1"/>
  <c r="D20" i="5" s="1"/>
  <c r="D21" i="5" s="1"/>
  <c r="D23" i="5" s="1"/>
  <c r="D24" i="5" s="1"/>
  <c r="D25" i="5" s="1"/>
  <c r="D26" i="5" s="1"/>
  <c r="D27" i="5" s="1"/>
  <c r="D28" i="5" s="1"/>
  <c r="D29" i="5" s="1"/>
  <c r="D30" i="5" s="1"/>
  <c r="D31" i="5" s="1"/>
  <c r="D32" i="5" s="1"/>
  <c r="D33" i="5" s="1"/>
  <c r="D34" i="5" s="1"/>
  <c r="D35" i="5" s="1"/>
  <c r="D36" i="5" s="1"/>
  <c r="D37" i="5" s="1"/>
  <c r="D38" i="5" s="1"/>
  <c r="D39" i="5" s="1"/>
  <c r="D40" i="5" s="1"/>
  <c r="D41" i="5" s="1"/>
  <c r="D42" i="5" s="1"/>
  <c r="D43" i="5" s="1"/>
  <c r="D44" i="5" s="1"/>
  <c r="D45" i="5" s="1"/>
  <c r="D46" i="5" s="1"/>
  <c r="D47" i="5" s="1"/>
  <c r="D48" i="5" s="1"/>
  <c r="D49" i="5" s="1"/>
  <c r="D50" i="5" s="1"/>
  <c r="D51" i="5" s="1"/>
  <c r="D52" i="5" s="1"/>
  <c r="D53" i="5" s="1"/>
  <c r="D54" i="5" s="1"/>
  <c r="D55" i="5" s="1"/>
  <c r="D56" i="5" s="1"/>
  <c r="D57" i="5" s="1"/>
  <c r="D58" i="5" s="1"/>
  <c r="D59" i="5" s="1"/>
  <c r="D60" i="5" s="1"/>
  <c r="D61" i="5" s="1"/>
  <c r="D62" i="5" s="1"/>
  <c r="D63" i="5" s="1"/>
  <c r="D64" i="5" s="1"/>
  <c r="D65" i="5" s="1"/>
  <c r="D66" i="5" s="1"/>
  <c r="D67" i="5" s="1"/>
  <c r="D68" i="5" s="1"/>
  <c r="D69" i="5" s="1"/>
  <c r="D70" i="5" s="1"/>
  <c r="D71" i="5" s="1"/>
  <c r="D72" i="5" s="1"/>
  <c r="D73" i="5" s="1"/>
  <c r="D74" i="5" s="1"/>
  <c r="D75" i="5" s="1"/>
  <c r="D76" i="5" s="1"/>
  <c r="D77" i="5" s="1"/>
  <c r="D78" i="5" s="1"/>
  <c r="D79" i="5" s="1"/>
  <c r="D80" i="5" s="1"/>
  <c r="D81" i="5" s="1"/>
  <c r="D82" i="5" s="1"/>
  <c r="D83" i="5" s="1"/>
  <c r="D84" i="5" s="1"/>
  <c r="D85" i="5" s="1"/>
  <c r="D86" i="5" s="1"/>
  <c r="D87" i="5" s="1"/>
  <c r="D89" i="5" s="1"/>
  <c r="D90" i="5" s="1"/>
  <c r="D91" i="5" s="1"/>
  <c r="D92" i="5" s="1"/>
  <c r="D93" i="5" s="1"/>
  <c r="D94" i="5" s="1"/>
  <c r="D95" i="5" s="1"/>
  <c r="D97" i="5" s="1"/>
  <c r="D98" i="5" s="1"/>
  <c r="D99" i="5" s="1"/>
  <c r="D100" i="5" s="1"/>
  <c r="D101" i="5" s="1"/>
  <c r="D102" i="5" s="1"/>
  <c r="D103" i="5" s="1"/>
  <c r="D104" i="5" s="1"/>
  <c r="D105" i="5" s="1"/>
  <c r="D106" i="5" s="1"/>
  <c r="D107" i="5" s="1"/>
  <c r="D108" i="5" s="1"/>
  <c r="D109" i="5" s="1"/>
  <c r="D110" i="5" s="1"/>
  <c r="D111" i="5" s="1"/>
  <c r="D112" i="5" s="1"/>
  <c r="D113" i="5" s="1"/>
  <c r="D115" i="5" s="1"/>
  <c r="D116" i="5" s="1"/>
  <c r="D117" i="5" s="1"/>
  <c r="D118" i="5" s="1"/>
  <c r="D119" i="5" s="1"/>
  <c r="D120" i="5" s="1"/>
  <c r="D121" i="5" s="1"/>
  <c r="D122" i="5" s="1"/>
  <c r="D123" i="5" s="1"/>
  <c r="D124" i="5" s="1"/>
  <c r="D128" i="5" s="1"/>
  <c r="D129" i="5" s="1"/>
  <c r="D131" i="5" s="1"/>
  <c r="D132" i="5" s="1"/>
  <c r="D133" i="5" s="1"/>
  <c r="D134" i="5" s="1"/>
  <c r="D135" i="5" s="1"/>
  <c r="D136" i="5" s="1"/>
  <c r="D137" i="5" s="1"/>
  <c r="D138" i="5" s="1"/>
  <c r="D139" i="5" s="1"/>
  <c r="D140" i="5" s="1"/>
  <c r="D141" i="5" s="1"/>
  <c r="D142" i="5" s="1"/>
  <c r="D143" i="5" s="1"/>
  <c r="D144" i="5" s="1"/>
  <c r="D145" i="5" s="1"/>
  <c r="D146" i="5" s="1"/>
  <c r="D148" i="5" s="1"/>
  <c r="D149" i="5" s="1"/>
  <c r="D150" i="5" s="1"/>
  <c r="D151" i="5" s="1"/>
  <c r="D152" i="5" s="1"/>
  <c r="D153" i="5" s="1"/>
  <c r="D154" i="5" s="1"/>
  <c r="D155" i="5" s="1"/>
  <c r="D156" i="5" s="1"/>
  <c r="D157" i="5" s="1"/>
  <c r="D158" i="5" s="1"/>
  <c r="D160" i="5" s="1"/>
  <c r="D161" i="5" s="1"/>
  <c r="D162" i="5" s="1"/>
  <c r="D163" i="5" s="1"/>
  <c r="D164" i="5" s="1"/>
  <c r="D165" i="5" s="1"/>
  <c r="D166" i="5" s="1"/>
  <c r="D167" i="5" s="1"/>
  <c r="D168" i="5" s="1"/>
  <c r="D170" i="5" s="1"/>
  <c r="D171" i="5" s="1"/>
  <c r="D172" i="5" s="1"/>
  <c r="D173" i="5" s="1"/>
  <c r="D174" i="5" s="1"/>
  <c r="D175" i="5" s="1"/>
  <c r="D176" i="5" s="1"/>
  <c r="D177" i="5" s="1"/>
  <c r="D178" i="5" s="1"/>
  <c r="D182" i="5" s="1"/>
  <c r="D183" i="5" s="1"/>
  <c r="D184" i="5" s="1"/>
  <c r="D185" i="5" s="1"/>
  <c r="D186" i="5" s="1"/>
  <c r="D187" i="5" s="1"/>
  <c r="D188" i="5" s="1"/>
  <c r="D189" i="5" s="1"/>
  <c r="D190" i="5" s="1"/>
  <c r="D191" i="5" s="1"/>
  <c r="D192" i="5" s="1"/>
  <c r="D193" i="5" s="1"/>
  <c r="D194" i="5" s="1"/>
  <c r="D195" i="5" s="1"/>
  <c r="D196" i="5" s="1"/>
  <c r="D197" i="5" s="1"/>
  <c r="D198" i="5" s="1"/>
  <c r="D199" i="5" s="1"/>
  <c r="D200" i="5" s="1"/>
  <c r="D201" i="5" s="1"/>
  <c r="D202" i="5" s="1"/>
  <c r="D203" i="5" s="1"/>
  <c r="D204" i="5" s="1"/>
  <c r="D205" i="5" s="1"/>
  <c r="D206" i="5" s="1"/>
  <c r="D207" i="5" s="1"/>
  <c r="D208" i="5" s="1"/>
  <c r="D209" i="5" s="1"/>
  <c r="D210" i="5" s="1"/>
  <c r="D211" i="5" s="1"/>
  <c r="D212" i="5" s="1"/>
  <c r="D213" i="5" s="1"/>
  <c r="D214" i="5" s="1"/>
  <c r="D215" i="5" s="1"/>
  <c r="D216" i="5" s="1"/>
  <c r="D217" i="5" s="1"/>
  <c r="D218" i="5" s="1"/>
  <c r="D219" i="5" s="1"/>
  <c r="D220" i="5" s="1"/>
  <c r="D221" i="5" s="1"/>
  <c r="D222" i="5" s="1"/>
  <c r="D223" i="5" s="1"/>
  <c r="D224" i="5" s="1"/>
  <c r="D225" i="5" s="1"/>
  <c r="D226" i="5" s="1"/>
  <c r="D227" i="5" s="1"/>
  <c r="D228" i="5" s="1"/>
  <c r="D229" i="5" s="1"/>
  <c r="D230" i="5" s="1"/>
  <c r="D231" i="5" s="1"/>
  <c r="D232" i="5" s="1"/>
  <c r="D233" i="5" s="1"/>
  <c r="D234" i="5" s="1"/>
  <c r="D235" i="5" s="1"/>
  <c r="D236" i="5" s="1"/>
  <c r="D237" i="5" s="1"/>
  <c r="D238" i="5" s="1"/>
  <c r="D239" i="5" s="1"/>
  <c r="D240" i="5" s="1"/>
  <c r="D241" i="5" s="1"/>
  <c r="D242" i="5" s="1"/>
  <c r="D243" i="5" s="1"/>
  <c r="D244" i="5" s="1"/>
  <c r="D245" i="5" s="1"/>
  <c r="D246" i="5" s="1"/>
  <c r="D247" i="5" s="1"/>
  <c r="D248" i="5" s="1"/>
  <c r="D249" i="5" s="1"/>
  <c r="D250" i="5" s="1"/>
  <c r="D251" i="5" s="1"/>
  <c r="D252" i="5" s="1"/>
  <c r="D253" i="5" s="1"/>
  <c r="D255" i="5" s="1"/>
  <c r="D256" i="5" s="1"/>
  <c r="D257" i="5" s="1"/>
  <c r="D258" i="5" s="1"/>
  <c r="D259" i="5" s="1"/>
  <c r="D260" i="5" s="1"/>
  <c r="D261" i="5" s="1"/>
  <c r="D262" i="5" s="1"/>
  <c r="D263" i="5" s="1"/>
  <c r="D264" i="5" s="1"/>
  <c r="D265" i="5" s="1"/>
  <c r="D266" i="5" s="1"/>
  <c r="D267" i="5" s="1"/>
  <c r="D268" i="5" s="1"/>
  <c r="D269" i="5" s="1"/>
  <c r="D270" i="5" s="1"/>
  <c r="D271" i="5" s="1"/>
  <c r="D272" i="5" s="1"/>
  <c r="D273" i="5" s="1"/>
  <c r="D274" i="5" s="1"/>
  <c r="D275" i="5" s="1"/>
  <c r="D276" i="5" s="1"/>
  <c r="D277" i="5" s="1"/>
  <c r="D278" i="5" s="1"/>
  <c r="D279" i="5" s="1"/>
  <c r="D280" i="5" s="1"/>
  <c r="D281" i="5" s="1"/>
  <c r="D282" i="5" s="1"/>
  <c r="D283" i="5" s="1"/>
  <c r="D284" i="5" s="1"/>
  <c r="D285" i="5" s="1"/>
  <c r="D286" i="5" s="1"/>
  <c r="D287" i="5" s="1"/>
  <c r="D288" i="5" s="1"/>
  <c r="D289" i="5" s="1"/>
  <c r="D290" i="5" s="1"/>
  <c r="D292" i="5" s="1"/>
  <c r="D293" i="5" s="1"/>
  <c r="D294" i="5" s="1"/>
  <c r="D295" i="5" s="1"/>
  <c r="D296" i="5" s="1"/>
  <c r="D297" i="5" s="1"/>
  <c r="D298" i="5" s="1"/>
  <c r="D299" i="5" s="1"/>
  <c r="D300" i="5" s="1"/>
  <c r="D301" i="5" s="1"/>
  <c r="D302" i="5" s="1"/>
  <c r="D303" i="5" s="1"/>
  <c r="D304" i="5" s="1"/>
  <c r="D305" i="5" s="1"/>
  <c r="D306" i="5" s="1"/>
  <c r="D307" i="5" s="1"/>
  <c r="D308" i="5" s="1"/>
  <c r="D309" i="5" s="1"/>
  <c r="D310" i="5" s="1"/>
  <c r="D311" i="5" s="1"/>
  <c r="D312" i="5" s="1"/>
  <c r="D313" i="5" s="1"/>
  <c r="D314" i="5" s="1"/>
  <c r="D315" i="5" s="1"/>
  <c r="D316" i="5" s="1"/>
  <c r="D317" i="5" s="1"/>
  <c r="D318" i="5" s="1"/>
  <c r="D319" i="5" s="1"/>
  <c r="D320" i="5" s="1"/>
  <c r="D321" i="5" s="1"/>
  <c r="D322" i="5" s="1"/>
  <c r="D323" i="5" s="1"/>
  <c r="D324" i="5" s="1"/>
  <c r="D325" i="5" s="1"/>
  <c r="D326" i="5" s="1"/>
  <c r="D327" i="5" s="1"/>
  <c r="D328" i="5" s="1"/>
  <c r="D329" i="5" s="1"/>
  <c r="D330" i="5" s="1"/>
  <c r="D331" i="5" s="1"/>
  <c r="D332" i="5" s="1"/>
  <c r="D333" i="5" s="1"/>
  <c r="D334" i="5" s="1"/>
  <c r="D335" i="5" s="1"/>
  <c r="D336" i="5" s="1"/>
  <c r="D338" i="5" s="1"/>
  <c r="D340" i="5" s="1"/>
  <c r="D341" i="5" s="1"/>
  <c r="D343" i="5" s="1"/>
  <c r="D346" i="5" s="1"/>
  <c r="D347" i="5" s="1"/>
  <c r="D348" i="5" s="1"/>
  <c r="D349" i="5" s="1"/>
  <c r="D350" i="5" s="1"/>
  <c r="D351" i="5" s="1"/>
  <c r="D352" i="5" s="1"/>
  <c r="D353" i="5" s="1"/>
  <c r="D354" i="5" s="1"/>
  <c r="D355" i="5" s="1"/>
  <c r="D356" i="5" s="1"/>
  <c r="D357" i="5" s="1"/>
  <c r="D358" i="5" s="1"/>
  <c r="D359" i="5" s="1"/>
  <c r="D360" i="5" s="1"/>
  <c r="D361" i="5" s="1"/>
  <c r="D362" i="5" s="1"/>
  <c r="D363" i="5" s="1"/>
  <c r="D364" i="5" s="1"/>
  <c r="D366" i="5" s="1"/>
  <c r="D367" i="5" s="1"/>
  <c r="D368" i="5" s="1"/>
  <c r="D369" i="5" s="1"/>
  <c r="D370" i="5" s="1"/>
  <c r="D371" i="5" s="1"/>
  <c r="D372" i="5" s="1"/>
  <c r="D373" i="5" s="1"/>
  <c r="D374" i="5" s="1"/>
  <c r="D375" i="5" s="1"/>
  <c r="D376" i="5" s="1"/>
  <c r="D377" i="5" s="1"/>
  <c r="D378" i="5" s="1"/>
  <c r="D379" i="5" s="1"/>
  <c r="D380" i="5" s="1"/>
  <c r="D381" i="5" s="1"/>
  <c r="D382" i="5" s="1"/>
  <c r="D383" i="5" s="1"/>
  <c r="D384" i="5" s="1"/>
  <c r="D386" i="5" s="1"/>
  <c r="D387" i="5" s="1"/>
  <c r="D388" i="5" s="1"/>
  <c r="D389" i="5" s="1"/>
  <c r="D390" i="5" s="1"/>
  <c r="D391" i="5" s="1"/>
  <c r="D392" i="5" s="1"/>
  <c r="D393" i="5" s="1"/>
  <c r="D394" i="5" s="1"/>
  <c r="D395" i="5" s="1"/>
  <c r="D396" i="5" s="1"/>
  <c r="D397" i="5" s="1"/>
  <c r="D398" i="5" s="1"/>
  <c r="D399" i="5" s="1"/>
  <c r="D400" i="5" s="1"/>
  <c r="D401" i="5" s="1"/>
  <c r="D402" i="5" s="1"/>
  <c r="D403" i="5" s="1"/>
  <c r="D404" i="5" s="1"/>
  <c r="D405" i="5" s="1"/>
  <c r="D406" i="5" s="1"/>
  <c r="D407" i="5" s="1"/>
  <c r="D408" i="5" s="1"/>
  <c r="D409" i="5" s="1"/>
  <c r="D410" i="5" s="1"/>
  <c r="D412" i="5" s="1"/>
  <c r="D413" i="5" s="1"/>
  <c r="D414" i="5" s="1"/>
  <c r="D415" i="5" s="1"/>
  <c r="D416" i="5" s="1"/>
  <c r="D417" i="5" s="1"/>
  <c r="D418" i="5" s="1"/>
  <c r="D419" i="5" s="1"/>
  <c r="D420" i="5" s="1"/>
  <c r="D421" i="5" s="1"/>
  <c r="D422" i="5" s="1"/>
  <c r="D423" i="5" s="1"/>
  <c r="D424" i="5" s="1"/>
  <c r="D425" i="5" s="1"/>
  <c r="D426" i="5" s="1"/>
  <c r="D427" i="5" s="1"/>
  <c r="D428" i="5" s="1"/>
  <c r="D429" i="5" s="1"/>
  <c r="D430" i="5" s="1"/>
  <c r="D431" i="5" s="1"/>
  <c r="D432" i="5" s="1"/>
  <c r="D433" i="5" s="1"/>
  <c r="D434" i="5" s="1"/>
  <c r="D435" i="5" s="1"/>
  <c r="D436" i="5" s="1"/>
  <c r="D437" i="5" s="1"/>
  <c r="D438" i="5" s="1"/>
  <c r="D439" i="5" s="1"/>
  <c r="D440" i="5" s="1"/>
  <c r="D441" i="5" s="1"/>
  <c r="D442" i="5" s="1"/>
  <c r="D443" i="5" s="1"/>
  <c r="D444" i="5" s="1"/>
  <c r="D445" i="5" s="1"/>
  <c r="D446" i="5" s="1"/>
  <c r="D447" i="5" s="1"/>
  <c r="D448" i="5" s="1"/>
  <c r="D449" i="5" s="1"/>
  <c r="D450" i="5" s="1"/>
  <c r="D451" i="5" s="1"/>
  <c r="D452" i="5" s="1"/>
  <c r="D453" i="5" s="1"/>
  <c r="D454" i="5" s="1"/>
  <c r="D455" i="5" s="1"/>
  <c r="D456" i="5" s="1"/>
  <c r="D457" i="5" s="1"/>
  <c r="D459" i="5" s="1"/>
  <c r="D460" i="5" s="1"/>
  <c r="D461" i="5" s="1"/>
  <c r="D462" i="5" s="1"/>
  <c r="D463" i="5" s="1"/>
  <c r="D464" i="5" s="1"/>
  <c r="D465" i="5" s="1"/>
  <c r="D466" i="5" s="1"/>
  <c r="D467" i="5" s="1"/>
  <c r="D468" i="5" s="1"/>
  <c r="D471" i="5" s="1"/>
  <c r="D472" i="5" s="1"/>
  <c r="D473" i="5" s="1"/>
  <c r="D474" i="5" s="1"/>
  <c r="D475" i="5" s="1"/>
  <c r="D476" i="5" s="1"/>
  <c r="D477" i="5" s="1"/>
  <c r="D478" i="5" s="1"/>
  <c r="D479" i="5" s="1"/>
  <c r="D480" i="5" s="1"/>
  <c r="D481" i="5" s="1"/>
  <c r="D482" i="5" s="1"/>
  <c r="D483" i="5" s="1"/>
  <c r="D484" i="5" s="1"/>
  <c r="D485" i="5" s="1"/>
  <c r="D486" i="5" s="1"/>
  <c r="D487" i="5" s="1"/>
  <c r="D488" i="5" s="1"/>
  <c r="D489" i="5" s="1"/>
  <c r="D490" i="5" s="1"/>
  <c r="D491" i="5" s="1"/>
  <c r="D492" i="5" s="1"/>
  <c r="D493" i="5" s="1"/>
  <c r="D494" i="5" s="1"/>
  <c r="D495" i="5" s="1"/>
  <c r="D496" i="5" s="1"/>
  <c r="D497" i="5" s="1"/>
  <c r="D499" i="5" s="1"/>
  <c r="D500" i="5" s="1"/>
  <c r="D501" i="5" s="1"/>
  <c r="D502" i="5" s="1"/>
  <c r="D503" i="5" s="1"/>
  <c r="D504" i="5" s="1"/>
  <c r="D505" i="5" s="1"/>
  <c r="D506" i="5" s="1"/>
  <c r="D507" i="5" s="1"/>
  <c r="D508" i="5" s="1"/>
  <c r="D509" i="5" s="1"/>
  <c r="D510" i="5" s="1"/>
  <c r="D511" i="5" s="1"/>
  <c r="D513" i="5" s="1"/>
  <c r="D514" i="5" s="1"/>
  <c r="D515" i="5" s="1"/>
  <c r="D516" i="5" s="1"/>
  <c r="D517" i="5" s="1"/>
  <c r="D518" i="5" s="1"/>
  <c r="D519" i="5" s="1"/>
  <c r="D520" i="5" s="1"/>
  <c r="D521" i="5" s="1"/>
  <c r="D522" i="5" s="1"/>
  <c r="D524" i="5" s="1"/>
  <c r="D525" i="5" s="1"/>
  <c r="D526" i="5" s="1"/>
  <c r="D528" i="5" s="1"/>
  <c r="D529" i="5" s="1"/>
  <c r="D530" i="5" s="1"/>
  <c r="D531" i="5" s="1"/>
  <c r="D532" i="5" s="1"/>
  <c r="D533" i="5" s="1"/>
  <c r="D534" i="5" s="1"/>
  <c r="D535" i="5" s="1"/>
  <c r="D537" i="5" s="1"/>
  <c r="D538" i="5" s="1"/>
  <c r="D539" i="5" s="1"/>
  <c r="D541" i="5" s="1"/>
  <c r="D542" i="5" s="1"/>
  <c r="D543" i="5" s="1"/>
  <c r="D545" i="5" s="1"/>
  <c r="D546" i="5" s="1"/>
  <c r="D547" i="5" s="1"/>
  <c r="D549" i="5" s="1"/>
  <c r="D550" i="5" s="1"/>
  <c r="D551" i="5" s="1"/>
  <c r="D553" i="5" s="1"/>
  <c r="D554" i="5" s="1"/>
  <c r="D555" i="5" s="1"/>
  <c r="D557" i="5" s="1"/>
  <c r="D558" i="5" s="1"/>
  <c r="D559" i="5" s="1"/>
  <c r="D561" i="5" s="1"/>
  <c r="D562" i="5" s="1"/>
  <c r="D563" i="5" s="1"/>
  <c r="D565" i="5" s="1"/>
  <c r="D566" i="5" s="1"/>
  <c r="D567" i="5" s="1"/>
  <c r="D569" i="5" s="1"/>
  <c r="D570" i="5" s="1"/>
  <c r="D572" i="5" s="1"/>
  <c r="D573" i="5" s="1"/>
  <c r="D574" i="5" s="1"/>
  <c r="D576" i="5" s="1"/>
  <c r="D577" i="5" s="1"/>
  <c r="D578" i="5" s="1"/>
  <c r="D579" i="5" s="1"/>
  <c r="D580" i="5" s="1"/>
  <c r="D582" i="5" s="1"/>
  <c r="D583" i="5" s="1"/>
  <c r="D584" i="5" s="1"/>
  <c r="D585" i="5" s="1"/>
  <c r="D586" i="5" s="1"/>
  <c r="D588" i="5" s="1"/>
  <c r="D589" i="5" s="1"/>
  <c r="D590" i="5" s="1"/>
  <c r="D591" i="5" s="1"/>
  <c r="D592" i="5" s="1"/>
  <c r="D594" i="5" s="1"/>
  <c r="D595" i="5" s="1"/>
  <c r="D596" i="5" s="1"/>
  <c r="D597" i="5" s="1"/>
  <c r="D598" i="5" s="1"/>
  <c r="D599" i="5" s="1"/>
  <c r="D600" i="5" s="1"/>
  <c r="D601" i="5" s="1"/>
  <c r="D602" i="5" s="1"/>
  <c r="D603" i="5" s="1"/>
  <c r="D604" i="5" s="1"/>
  <c r="D605" i="5" s="1"/>
  <c r="D606" i="5" s="1"/>
  <c r="D607" i="5" s="1"/>
  <c r="D608" i="5" s="1"/>
  <c r="D609" i="5" s="1"/>
  <c r="D610" i="5" s="1"/>
  <c r="D611" i="5" s="1"/>
  <c r="D612" i="5" s="1"/>
  <c r="D613" i="5" s="1"/>
  <c r="D614" i="5" s="1"/>
  <c r="D615" i="5" s="1"/>
  <c r="D616" i="5" s="1"/>
  <c r="D617" i="5" s="1"/>
  <c r="D618" i="5" s="1"/>
  <c r="D620" i="5" s="1"/>
  <c r="D621" i="5" s="1"/>
  <c r="D622" i="5" s="1"/>
  <c r="D623" i="5" s="1"/>
  <c r="D624" i="5" s="1"/>
  <c r="D625" i="5" s="1"/>
  <c r="D626" i="5" s="1"/>
  <c r="D627" i="5" s="1"/>
  <c r="D628" i="5" s="1"/>
  <c r="D629" i="5" s="1"/>
  <c r="D630" i="5" s="1"/>
  <c r="D631" i="5" s="1"/>
  <c r="D632" i="5" s="1"/>
  <c r="D633" i="5" s="1"/>
  <c r="D634" i="5" s="1"/>
  <c r="D636" i="5" s="1"/>
  <c r="D637" i="5" s="1"/>
  <c r="D638" i="5" s="1"/>
  <c r="D639" i="5" s="1"/>
  <c r="D640" i="5" s="1"/>
  <c r="D641" i="5" s="1"/>
  <c r="D642" i="5" s="1"/>
  <c r="D643" i="5" s="1"/>
  <c r="D644" i="5" s="1"/>
  <c r="D645" i="5" s="1"/>
  <c r="D646" i="5" s="1"/>
  <c r="D647" i="5" s="1"/>
  <c r="D648" i="5" s="1"/>
  <c r="D649" i="5" s="1"/>
  <c r="D650" i="5" s="1"/>
  <c r="D651" i="5" s="1"/>
  <c r="D652" i="5" s="1"/>
  <c r="D653" i="5" s="1"/>
  <c r="D654" i="5" s="1"/>
  <c r="D655" i="5" s="1"/>
  <c r="D656" i="5" s="1"/>
  <c r="D657" i="5" s="1"/>
  <c r="D658" i="5" s="1"/>
  <c r="D659" i="5" s="1"/>
  <c r="D660" i="5" s="1"/>
  <c r="D661" i="5" s="1"/>
  <c r="D662" i="5" s="1"/>
  <c r="D663" i="5" s="1"/>
  <c r="D664" i="5" s="1"/>
  <c r="D665" i="5" s="1"/>
  <c r="D666" i="5" s="1"/>
  <c r="D667" i="5" s="1"/>
  <c r="D668" i="5" s="1"/>
  <c r="D669" i="5" s="1"/>
  <c r="D670" i="5" s="1"/>
  <c r="D671" i="5" s="1"/>
  <c r="D672" i="5" s="1"/>
  <c r="D673" i="5" s="1"/>
  <c r="D674" i="5" s="1"/>
  <c r="D675" i="5" s="1"/>
  <c r="D676" i="5" s="1"/>
  <c r="D677" i="5" s="1"/>
  <c r="D678" i="5" s="1"/>
  <c r="D679" i="5" s="1"/>
  <c r="D681" i="5" s="1"/>
  <c r="D682" i="5" s="1"/>
  <c r="D683" i="5" s="1"/>
  <c r="D684" i="5" s="1"/>
  <c r="D685" i="5" s="1"/>
  <c r="D686" i="5" s="1"/>
  <c r="D687" i="5" s="1"/>
  <c r="D688" i="5" s="1"/>
  <c r="D689" i="5" s="1"/>
  <c r="D691" i="5" s="1"/>
  <c r="D692" i="5" s="1"/>
  <c r="D693" i="5" s="1"/>
  <c r="D694" i="5" s="1"/>
  <c r="D695" i="5" s="1"/>
  <c r="D696" i="5" s="1"/>
  <c r="D697" i="5" s="1"/>
  <c r="D698" i="5" s="1"/>
  <c r="D699" i="5" s="1"/>
  <c r="D700" i="5" s="1"/>
  <c r="D701" i="5" s="1"/>
  <c r="D702" i="5" s="1"/>
  <c r="D703" i="5" s="1"/>
  <c r="D704" i="5" s="1"/>
  <c r="D705" i="5" s="1"/>
  <c r="D706" i="5" s="1"/>
  <c r="D707" i="5" s="1"/>
  <c r="D708" i="5" s="1"/>
  <c r="D709" i="5" s="1"/>
  <c r="D710" i="5" s="1"/>
  <c r="D711" i="5" s="1"/>
  <c r="D712" i="5" s="1"/>
  <c r="D713" i="5" s="1"/>
  <c r="D714" i="5" s="1"/>
  <c r="D715" i="5" s="1"/>
  <c r="D716" i="5" s="1"/>
  <c r="D717" i="5" s="1"/>
  <c r="D719" i="5" s="1"/>
  <c r="D720" i="5" s="1"/>
  <c r="D721" i="5" s="1"/>
  <c r="D722" i="5" s="1"/>
  <c r="D723" i="5" s="1"/>
  <c r="D724" i="5" s="1"/>
  <c r="D725" i="5" s="1"/>
  <c r="D726" i="5" s="1"/>
  <c r="D727" i="5" s="1"/>
  <c r="D728" i="5" s="1"/>
  <c r="D729" i="5" s="1"/>
  <c r="D730" i="5" s="1"/>
  <c r="D731" i="5" s="1"/>
  <c r="D732" i="5" s="1"/>
  <c r="D733" i="5" s="1"/>
  <c r="D734" i="5" s="1"/>
  <c r="D735" i="5" s="1"/>
  <c r="D736" i="5" s="1"/>
  <c r="D737" i="5" s="1"/>
  <c r="D738" i="5" s="1"/>
  <c r="D739" i="5" s="1"/>
  <c r="D740" i="5" s="1"/>
  <c r="D741" i="5" s="1"/>
  <c r="D742" i="5" s="1"/>
  <c r="D743" i="5" s="1"/>
  <c r="D744" i="5" s="1"/>
  <c r="D745" i="5" s="1"/>
  <c r="D746" i="5" s="1"/>
  <c r="D747" i="5" s="1"/>
  <c r="D749" i="5" s="1"/>
  <c r="D750" i="5" s="1"/>
  <c r="D751" i="5" s="1"/>
  <c r="D752" i="5" s="1"/>
  <c r="D753" i="5" s="1"/>
  <c r="D755" i="5" s="1"/>
  <c r="D756" i="5" s="1"/>
  <c r="D757" i="5" s="1"/>
  <c r="D758" i="5" s="1"/>
  <c r="D759" i="5" s="1"/>
  <c r="D760" i="5" s="1"/>
  <c r="D761" i="5" s="1"/>
  <c r="D762" i="5" s="1"/>
  <c r="D763" i="5" s="1"/>
  <c r="D764" i="5" s="1"/>
  <c r="D765" i="5" s="1"/>
  <c r="D766" i="5" s="1"/>
  <c r="D767" i="5" s="1"/>
  <c r="D768" i="5" s="1"/>
  <c r="D769" i="5" s="1"/>
  <c r="D770" i="5" s="1"/>
  <c r="D771" i="5" s="1"/>
  <c r="D772" i="5" s="1"/>
  <c r="D773" i="5" s="1"/>
  <c r="D774" i="5" s="1"/>
  <c r="D775" i="5" s="1"/>
  <c r="D776" i="5" s="1"/>
  <c r="D777" i="5" s="1"/>
  <c r="D778" i="5" s="1"/>
  <c r="D780" i="5" s="1"/>
  <c r="D782" i="5" s="1"/>
  <c r="D783" i="5" s="1"/>
  <c r="D784" i="5" s="1"/>
  <c r="D785" i="5" s="1"/>
  <c r="D786" i="5" s="1"/>
  <c r="D787" i="5" s="1"/>
  <c r="D788" i="5" s="1"/>
  <c r="D789" i="5" s="1"/>
  <c r="D790" i="5" s="1"/>
  <c r="D791" i="5" s="1"/>
  <c r="D792" i="5" s="1"/>
  <c r="D793" i="5" s="1"/>
  <c r="D794" i="5" s="1"/>
  <c r="D795" i="5" s="1"/>
  <c r="D796" i="5" s="1"/>
  <c r="D797" i="5" s="1"/>
  <c r="D798" i="5" s="1"/>
  <c r="D799" i="5" s="1"/>
  <c r="D800" i="5" s="1"/>
  <c r="D801" i="5" s="1"/>
  <c r="D802" i="5" s="1"/>
  <c r="D803" i="5" s="1"/>
  <c r="D804" i="5" s="1"/>
  <c r="D805" i="5" s="1"/>
  <c r="D806" i="5" s="1"/>
  <c r="D807" i="5" s="1"/>
  <c r="D808" i="5" s="1"/>
  <c r="D809" i="5" s="1"/>
  <c r="D810" i="5" s="1"/>
  <c r="D811" i="5" s="1"/>
  <c r="D812" i="5" s="1"/>
  <c r="D813" i="5" s="1"/>
  <c r="D814" i="5" s="1"/>
  <c r="D815" i="5" s="1"/>
  <c r="D816" i="5" s="1"/>
  <c r="D817" i="5" s="1"/>
  <c r="D818" i="5" s="1"/>
  <c r="D819" i="5" s="1"/>
  <c r="D820" i="5" s="1"/>
  <c r="D823" i="5" s="1"/>
  <c r="D824" i="5" s="1"/>
  <c r="D825" i="5" s="1"/>
  <c r="D826" i="5" s="1"/>
  <c r="D827" i="5" s="1"/>
  <c r="D828" i="5" s="1"/>
  <c r="D829" i="5" s="1"/>
  <c r="D830" i="5" s="1"/>
  <c r="D831" i="5" s="1"/>
  <c r="D832" i="5" s="1"/>
  <c r="D833" i="5" s="1"/>
  <c r="D834" i="5" s="1"/>
  <c r="D835" i="5" s="1"/>
  <c r="D836" i="5" s="1"/>
  <c r="D837" i="5" s="1"/>
  <c r="D838" i="5" s="1"/>
  <c r="D839" i="5" s="1"/>
  <c r="D840" i="5" s="1"/>
  <c r="D841" i="5" s="1"/>
  <c r="D842" i="5" s="1"/>
  <c r="D843" i="5" s="1"/>
  <c r="D844" i="5" s="1"/>
  <c r="D845" i="5" s="1"/>
  <c r="D846" i="5" s="1"/>
  <c r="D847" i="5" s="1"/>
  <c r="D848" i="5" s="1"/>
  <c r="D849" i="5" s="1"/>
  <c r="D850" i="5" s="1"/>
  <c r="D851" i="5" s="1"/>
  <c r="D852" i="5" s="1"/>
  <c r="D853" i="5" s="1"/>
  <c r="D854" i="5" s="1"/>
  <c r="D855" i="5" s="1"/>
  <c r="D856" i="5" s="1"/>
  <c r="D857" i="5" s="1"/>
  <c r="D858" i="5" s="1"/>
  <c r="D859" i="5" s="1"/>
  <c r="D860" i="5" s="1"/>
  <c r="D861" i="5" s="1"/>
  <c r="D862" i="5" s="1"/>
  <c r="D863" i="5" s="1"/>
  <c r="D864" i="5" s="1"/>
  <c r="D865" i="5" s="1"/>
  <c r="D866" i="5" s="1"/>
  <c r="D867" i="5" s="1"/>
  <c r="D868" i="5" s="1"/>
  <c r="D869" i="5" s="1"/>
  <c r="D870" i="5" s="1"/>
  <c r="D871" i="5" s="1"/>
  <c r="D872" i="5" s="1"/>
  <c r="D873" i="5" s="1"/>
  <c r="D874" i="5" s="1"/>
  <c r="D875" i="5" s="1"/>
  <c r="D876" i="5" s="1"/>
  <c r="D877" i="5" s="1"/>
  <c r="D878" i="5" s="1"/>
  <c r="D879" i="5" s="1"/>
  <c r="D880" i="5" s="1"/>
  <c r="D881" i="5" s="1"/>
  <c r="D882" i="5" s="1"/>
  <c r="D883" i="5" s="1"/>
  <c r="D884" i="5" s="1"/>
  <c r="D885" i="5" s="1"/>
  <c r="D886" i="5" s="1"/>
  <c r="D887" i="5" s="1"/>
  <c r="D888" i="5" s="1"/>
  <c r="D889" i="5" s="1"/>
  <c r="D891" i="5" s="1"/>
  <c r="D892" i="5" s="1"/>
  <c r="D893" i="5" s="1"/>
  <c r="D894" i="5" s="1"/>
  <c r="D895" i="5" s="1"/>
  <c r="D896" i="5" s="1"/>
  <c r="D897" i="5" s="1"/>
  <c r="D898" i="5" s="1"/>
  <c r="D899" i="5" s="1"/>
  <c r="D900" i="5" s="1"/>
  <c r="D901" i="5" s="1"/>
  <c r="D902" i="5" s="1"/>
  <c r="D903" i="5" s="1"/>
  <c r="D904" i="5" s="1"/>
  <c r="D905" i="5" s="1"/>
  <c r="D906" i="5" s="1"/>
  <c r="D907" i="5" s="1"/>
  <c r="D908" i="5" s="1"/>
  <c r="D909" i="5" s="1"/>
  <c r="D910" i="5" s="1"/>
  <c r="D911" i="5" s="1"/>
  <c r="D912" i="5" s="1"/>
  <c r="D913" i="5" s="1"/>
  <c r="D914" i="5" s="1"/>
  <c r="D915" i="5" s="1"/>
  <c r="D916" i="5" s="1"/>
  <c r="D917" i="5" s="1"/>
  <c r="D918" i="5" s="1"/>
  <c r="D919" i="5" s="1"/>
  <c r="D920" i="5" s="1"/>
  <c r="D921" i="5" s="1"/>
  <c r="D922" i="5" s="1"/>
  <c r="D923" i="5" s="1"/>
  <c r="D924" i="5" s="1"/>
  <c r="D925" i="5" s="1"/>
  <c r="D926" i="5" s="1"/>
  <c r="D927" i="5" s="1"/>
  <c r="D928" i="5" s="1"/>
  <c r="D929" i="5" s="1"/>
  <c r="D930" i="5" s="1"/>
  <c r="D931" i="5" s="1"/>
  <c r="D932" i="5" s="1"/>
  <c r="D933" i="5" s="1"/>
  <c r="D934" i="5" s="1"/>
  <c r="D935" i="5" s="1"/>
  <c r="D936" i="5" s="1"/>
  <c r="D937" i="5" s="1"/>
  <c r="D938" i="5" s="1"/>
  <c r="D940" i="5" s="1"/>
  <c r="D941" i="5" s="1"/>
  <c r="D942" i="5" s="1"/>
  <c r="D943" i="5" s="1"/>
  <c r="D944" i="5" s="1"/>
  <c r="D945" i="5" s="1"/>
  <c r="D946" i="5" s="1"/>
  <c r="D947" i="5" s="1"/>
  <c r="D948" i="5" s="1"/>
  <c r="D949" i="5" s="1"/>
  <c r="D950" i="5" s="1"/>
  <c r="D951" i="5" s="1"/>
  <c r="D952" i="5" s="1"/>
  <c r="D953" i="5" s="1"/>
  <c r="D954" i="5" s="1"/>
  <c r="D955" i="5" s="1"/>
  <c r="D956" i="5" s="1"/>
  <c r="D957" i="5" s="1"/>
  <c r="D958" i="5" s="1"/>
  <c r="D959" i="5" s="1"/>
  <c r="D960" i="5" s="1"/>
  <c r="D961" i="5" s="1"/>
  <c r="D962" i="5" s="1"/>
  <c r="D963" i="5" s="1"/>
  <c r="D964" i="5" s="1"/>
  <c r="D965" i="5" s="1"/>
  <c r="D966" i="5" s="1"/>
  <c r="D967" i="5" s="1"/>
  <c r="D968" i="5" s="1"/>
  <c r="D969" i="5" s="1"/>
  <c r="D970" i="5" s="1"/>
  <c r="D971" i="5" s="1"/>
  <c r="D972" i="5" s="1"/>
  <c r="D973" i="5" s="1"/>
  <c r="D974" i="5" s="1"/>
  <c r="D975" i="5" s="1"/>
  <c r="D976" i="5" s="1"/>
  <c r="D977" i="5" s="1"/>
  <c r="D978" i="5" s="1"/>
  <c r="D979" i="5" s="1"/>
  <c r="D980" i="5" s="1"/>
  <c r="D981" i="5" s="1"/>
  <c r="D982" i="5" s="1"/>
  <c r="D983" i="5" s="1"/>
  <c r="D985" i="5" s="1"/>
  <c r="D986" i="5" s="1"/>
  <c r="D987" i="5" s="1"/>
  <c r="D988" i="5" s="1"/>
  <c r="D989" i="5" s="1"/>
  <c r="D990" i="5" s="1"/>
  <c r="D991" i="5" s="1"/>
  <c r="D992" i="5" s="1"/>
  <c r="D993" i="5" s="1"/>
  <c r="D995" i="5" s="1"/>
  <c r="D996" i="5" s="1"/>
  <c r="D997" i="5" s="1"/>
  <c r="D998" i="5" s="1"/>
  <c r="D999" i="5" s="1"/>
  <c r="D1000" i="5" s="1"/>
  <c r="D1001" i="5" s="1"/>
  <c r="D1002" i="5" s="1"/>
  <c r="D1003" i="5" s="1"/>
  <c r="D1005" i="5" s="1"/>
  <c r="D1006" i="5" s="1"/>
  <c r="D1007" i="5" s="1"/>
  <c r="D1008" i="5" s="1"/>
  <c r="D1009" i="5" s="1"/>
  <c r="D1010" i="5" s="1"/>
  <c r="D1011" i="5" s="1"/>
  <c r="D1012" i="5" s="1"/>
  <c r="D1013" i="5" s="1"/>
  <c r="D1015" i="5" s="1"/>
  <c r="D1016" i="5" s="1"/>
  <c r="D1017" i="5" s="1"/>
  <c r="D1018" i="5" s="1"/>
  <c r="D1019" i="5" s="1"/>
  <c r="D1020" i="5" s="1"/>
  <c r="D1021" i="5" s="1"/>
  <c r="D1022" i="5" s="1"/>
  <c r="D1023" i="5" s="1"/>
  <c r="D1024" i="5" s="1"/>
  <c r="D1025" i="5" s="1"/>
  <c r="D1026" i="5" s="1"/>
  <c r="D1027" i="5" s="1"/>
  <c r="D1028" i="5" s="1"/>
  <c r="D1029" i="5" s="1"/>
  <c r="D1031" i="5" s="1"/>
  <c r="D1032" i="5" s="1"/>
  <c r="D1033" i="5" s="1"/>
  <c r="D1034" i="5" s="1"/>
  <c r="D1035" i="5" s="1"/>
  <c r="D1036" i="5" s="1"/>
  <c r="D1037" i="5" s="1"/>
  <c r="D1038" i="5" s="1"/>
  <c r="D1039" i="5" s="1"/>
  <c r="D1040" i="5" s="1"/>
  <c r="D1041" i="5" s="1"/>
  <c r="D1043" i="5" s="1"/>
  <c r="D1044" i="5" s="1"/>
  <c r="D1045" i="5" s="1"/>
  <c r="D1046" i="5" s="1"/>
  <c r="D1047" i="5" s="1"/>
  <c r="D1048" i="5" s="1"/>
  <c r="D1049" i="5" s="1"/>
  <c r="D1050" i="5" s="1"/>
  <c r="D1053" i="5" s="1"/>
  <c r="D1054" i="5" s="1"/>
  <c r="D1055" i="5" s="1"/>
  <c r="D1056" i="5" s="1"/>
  <c r="D1057" i="5" s="1"/>
  <c r="D1058" i="5" s="1"/>
  <c r="D1060" i="5" s="1"/>
  <c r="D1061" i="5" s="1"/>
  <c r="D1062" i="5" s="1"/>
  <c r="D1063" i="5" s="1"/>
  <c r="D1064" i="5" s="1"/>
  <c r="D1065" i="5" s="1"/>
  <c r="D1067" i="5" s="1"/>
  <c r="D1068" i="5" s="1"/>
  <c r="D1069" i="5" s="1"/>
  <c r="D1070" i="5" s="1"/>
  <c r="D1071" i="5" s="1"/>
  <c r="D1072" i="5" s="1"/>
  <c r="D1074" i="5" s="1"/>
  <c r="D1075" i="5" s="1"/>
  <c r="D1076" i="5" s="1"/>
  <c r="D1077" i="5" s="1"/>
  <c r="D1078" i="5" s="1"/>
  <c r="D1079" i="5" s="1"/>
  <c r="D1082" i="5" s="1"/>
  <c r="D1083" i="5" s="1"/>
  <c r="D1084" i="5" s="1"/>
  <c r="D1085" i="5" s="1"/>
  <c r="D1086" i="5" s="1"/>
  <c r="D1087" i="5" s="1"/>
  <c r="D1089" i="5" s="1"/>
  <c r="D1090" i="5" s="1"/>
  <c r="D1091" i="5" s="1"/>
  <c r="D1092" i="5" s="1"/>
  <c r="D1093" i="5" s="1"/>
  <c r="D1094" i="5" s="1"/>
  <c r="D1096" i="5" s="1"/>
  <c r="D1097" i="5" s="1"/>
  <c r="D1098" i="5" s="1"/>
  <c r="D1099" i="5" s="1"/>
  <c r="D1100" i="5" s="1"/>
  <c r="D1101" i="5" s="1"/>
  <c r="D1103" i="5" s="1"/>
  <c r="D1104" i="5" s="1"/>
  <c r="D1105" i="5" s="1"/>
  <c r="D1106" i="5" s="1"/>
  <c r="D1107" i="5" s="1"/>
  <c r="D1108" i="5" s="1"/>
  <c r="D1110" i="5" s="1"/>
  <c r="D1111" i="5" s="1"/>
  <c r="D1112" i="5" s="1"/>
  <c r="D1113" i="5" s="1"/>
  <c r="D1114" i="5" s="1"/>
  <c r="D1115" i="5" s="1"/>
  <c r="D1116" i="5" s="1"/>
  <c r="D1117" i="5" s="1"/>
  <c r="D1119" i="5" s="1"/>
  <c r="D1120" i="5" s="1"/>
  <c r="D1121" i="5" s="1"/>
  <c r="D1122" i="5" s="1"/>
  <c r="D1123" i="5" s="1"/>
  <c r="D1124" i="5" s="1"/>
  <c r="D1125" i="5" s="1"/>
  <c r="D1126" i="5" s="1"/>
  <c r="D1128" i="5" s="1"/>
  <c r="D1129" i="5" s="1"/>
  <c r="D1130" i="5" s="1"/>
  <c r="D1131" i="5" s="1"/>
  <c r="D1132" i="5" s="1"/>
  <c r="D1133" i="5" s="1"/>
  <c r="D1134" i="5" s="1"/>
  <c r="D1135" i="5" s="1"/>
  <c r="D1137" i="5" s="1"/>
  <c r="D1138" i="5" s="1"/>
  <c r="D1139" i="5" s="1"/>
  <c r="D1140" i="5" s="1"/>
  <c r="D1141" i="5" s="1"/>
  <c r="D1142" i="5" s="1"/>
  <c r="D1143" i="5" s="1"/>
  <c r="D1144" i="5" s="1"/>
  <c r="D1146" i="5" s="1"/>
  <c r="D1147" i="5" s="1"/>
  <c r="D1148" i="5" s="1"/>
  <c r="D1149" i="5" s="1"/>
  <c r="D1150" i="5" s="1"/>
  <c r="D1151" i="5" s="1"/>
  <c r="D1152" i="5" s="1"/>
  <c r="D1153" i="5" s="1"/>
  <c r="D1155" i="5" s="1"/>
  <c r="D1156" i="5" s="1"/>
  <c r="D1157" i="5" s="1"/>
  <c r="D1158" i="5" s="1"/>
  <c r="D1159" i="5" s="1"/>
  <c r="D1160" i="5" s="1"/>
  <c r="D1161" i="5" s="1"/>
  <c r="D1162" i="5" s="1"/>
  <c r="D1164" i="5" s="1"/>
  <c r="D1165" i="5" s="1"/>
  <c r="D1166" i="5" s="1"/>
  <c r="D1167" i="5" s="1"/>
  <c r="D1168" i="5" s="1"/>
  <c r="D1169" i="5" s="1"/>
  <c r="D1171" i="5" s="1"/>
  <c r="D1172" i="5" s="1"/>
  <c r="D1173" i="5" s="1"/>
  <c r="D1175" i="5" s="1"/>
  <c r="D1176" i="5" s="1"/>
  <c r="D1177" i="5" s="1"/>
  <c r="D1178" i="5" s="1"/>
  <c r="D1179" i="5" s="1"/>
  <c r="D1180" i="5" s="1"/>
  <c r="D1181" i="5" s="1"/>
  <c r="D1182" i="5" s="1"/>
  <c r="D1183" i="5" s="1"/>
  <c r="D1185" i="5" s="1"/>
  <c r="D1186" i="5" s="1"/>
  <c r="D1187" i="5" s="1"/>
  <c r="D1188" i="5" s="1"/>
  <c r="D1189" i="5" s="1"/>
  <c r="D1190" i="5" s="1"/>
  <c r="D1191" i="5" s="1"/>
  <c r="D1192" i="5" s="1"/>
  <c r="D1193" i="5" s="1"/>
  <c r="D1194" i="5" s="1"/>
  <c r="D1195" i="5" s="1"/>
  <c r="D1196" i="5" s="1"/>
  <c r="D1197" i="5" s="1"/>
  <c r="D1198" i="5" s="1"/>
  <c r="D1199" i="5" s="1"/>
  <c r="D1200" i="5" s="1"/>
  <c r="D1201" i="5" s="1"/>
  <c r="D1202" i="5" s="1"/>
  <c r="D1203" i="5" s="1"/>
  <c r="D1204" i="5" s="1"/>
  <c r="D1205" i="5" s="1"/>
  <c r="D1206" i="5" s="1"/>
  <c r="D1207" i="5" s="1"/>
  <c r="D1208" i="5" s="1"/>
  <c r="D1209" i="5" s="1"/>
  <c r="D1210" i="5" s="1"/>
  <c r="D1211" i="5" s="1"/>
  <c r="D1212" i="5" s="1"/>
  <c r="D1213" i="5" s="1"/>
  <c r="D1214" i="5" s="1"/>
  <c r="D1215" i="5" s="1"/>
  <c r="D1216" i="5" s="1"/>
  <c r="D1217" i="5" s="1"/>
  <c r="D1218" i="5" s="1"/>
  <c r="D1219" i="5" s="1"/>
  <c r="D1220" i="5" s="1"/>
  <c r="D1221" i="5" s="1"/>
  <c r="D1222" i="5" s="1"/>
  <c r="D1223" i="5" s="1"/>
  <c r="D1224" i="5" s="1"/>
  <c r="D1225" i="5" s="1"/>
  <c r="D1226" i="5" s="1"/>
  <c r="D1227" i="5" s="1"/>
  <c r="D1228" i="5" s="1"/>
  <c r="D1229" i="5" s="1"/>
  <c r="D1230" i="5" s="1"/>
  <c r="D1231" i="5" s="1"/>
  <c r="D1232" i="5" s="1"/>
  <c r="D1233" i="5" s="1"/>
  <c r="D1234" i="5" s="1"/>
  <c r="D1235" i="5" s="1"/>
  <c r="D1236" i="5" s="1"/>
  <c r="D1237" i="5" s="1"/>
  <c r="D1238" i="5" s="1"/>
  <c r="D1239" i="5" s="1"/>
  <c r="D1240" i="5" s="1"/>
  <c r="D1241" i="5" s="1"/>
  <c r="D1242" i="5" s="1"/>
  <c r="D1243" i="5" s="1"/>
  <c r="D1244" i="5" s="1"/>
  <c r="D1245" i="5" s="1"/>
  <c r="D1246" i="5" s="1"/>
  <c r="D1247" i="5" s="1"/>
  <c r="D1249" i="5" s="1"/>
  <c r="D1250" i="5" s="1"/>
  <c r="D1251" i="5" s="1"/>
  <c r="D1252" i="5" s="1"/>
  <c r="D1253" i="5" s="1"/>
  <c r="D1254" i="5" s="1"/>
  <c r="D1255" i="5" s="1"/>
  <c r="D1256" i="5" s="1"/>
  <c r="D1257" i="5" s="1"/>
  <c r="D1259" i="5" s="1"/>
  <c r="D1260" i="5" s="1"/>
  <c r="D1261" i="5" s="1"/>
  <c r="D1262" i="5" s="1"/>
  <c r="D1263" i="5" s="1"/>
  <c r="D1264" i="5" s="1"/>
  <c r="D1266" i="5" s="1"/>
  <c r="D1267" i="5" s="1"/>
  <c r="D1268" i="5" s="1"/>
  <c r="D1269" i="5" s="1"/>
  <c r="D1271" i="5" s="1"/>
  <c r="D1272" i="5" s="1"/>
  <c r="D1273" i="5" s="1"/>
  <c r="D1274" i="5" s="1"/>
  <c r="D1275" i="5" s="1"/>
  <c r="D1276" i="5" s="1"/>
  <c r="D1277" i="5" s="1"/>
  <c r="D1278" i="5" s="1"/>
  <c r="D1279" i="5" s="1"/>
  <c r="D1280" i="5" s="1"/>
  <c r="D1281" i="5" s="1"/>
  <c r="D1282" i="5" s="1"/>
  <c r="D1283" i="5" s="1"/>
  <c r="D1284" i="5" s="1"/>
  <c r="D1285" i="5" s="1"/>
  <c r="D1286" i="5" s="1"/>
  <c r="D1287" i="5" s="1"/>
  <c r="D1288" i="5" s="1"/>
  <c r="D1290" i="5" s="1"/>
  <c r="D1291" i="5" s="1"/>
  <c r="D1292" i="5" s="1"/>
  <c r="D1293" i="5" s="1"/>
  <c r="D1294" i="5" s="1"/>
  <c r="D1295" i="5" s="1"/>
  <c r="D1296" i="5" s="1"/>
  <c r="D1297" i="5" s="1"/>
  <c r="D1299" i="5" s="1"/>
  <c r="D1300" i="5" s="1"/>
  <c r="D1301" i="5" s="1"/>
  <c r="D1302" i="5" s="1"/>
  <c r="D1304" i="5" s="1"/>
  <c r="D1305" i="5" s="1"/>
  <c r="D1306" i="5" s="1"/>
  <c r="D1307" i="5" s="1"/>
  <c r="D1309" i="5" s="1"/>
  <c r="D1310" i="5" s="1"/>
  <c r="D1311" i="5" s="1"/>
  <c r="D1312" i="5" s="1"/>
  <c r="D1314" i="5" s="1"/>
  <c r="D1315" i="5" s="1"/>
  <c r="D1316" i="5" s="1"/>
  <c r="D1317" i="5" s="1"/>
  <c r="D1318" i="5" s="1"/>
  <c r="D1319" i="5" s="1"/>
  <c r="D1320" i="5" s="1"/>
  <c r="D1321" i="5" s="1"/>
  <c r="D1322" i="5" s="1"/>
  <c r="D1324" i="5" s="1"/>
  <c r="D1325" i="5" s="1"/>
  <c r="D1326" i="5" s="1"/>
  <c r="D1327" i="5" s="1"/>
  <c r="D1329" i="5" s="1"/>
  <c r="D1330" i="5" s="1"/>
  <c r="D1331" i="5" s="1"/>
  <c r="D1332" i="5" s="1"/>
  <c r="D1334" i="5" s="1"/>
  <c r="D1335" i="5" s="1"/>
  <c r="D1336" i="5" s="1"/>
  <c r="D1337" i="5" s="1"/>
  <c r="D1339" i="5" s="1"/>
  <c r="D1340" i="5" s="1"/>
  <c r="D1341" i="5" s="1"/>
  <c r="D1342" i="5" s="1"/>
  <c r="D1344" i="5" s="1"/>
  <c r="D1345" i="5" s="1"/>
  <c r="D1346" i="5" s="1"/>
  <c r="D1347" i="5" s="1"/>
  <c r="D1349" i="5" s="1"/>
  <c r="D1350" i="5" s="1"/>
  <c r="D1351" i="5" s="1"/>
  <c r="D1352" i="5" s="1"/>
  <c r="D1354" i="5" s="1"/>
  <c r="D1355" i="5" s="1"/>
  <c r="D1356" i="5" s="1"/>
  <c r="D1357" i="5" s="1"/>
  <c r="D1359" i="5" s="1"/>
  <c r="D1360" i="5" s="1"/>
  <c r="D1361" i="5" s="1"/>
  <c r="D1362" i="5" s="1"/>
  <c r="D1364" i="5" s="1"/>
  <c r="D1365" i="5" s="1"/>
  <c r="D1366" i="5" s="1"/>
  <c r="D1367" i="5" s="1"/>
  <c r="D1368" i="5" s="1"/>
  <c r="D1369" i="5" s="1"/>
  <c r="D1370" i="5" s="1"/>
  <c r="D1371" i="5" s="1"/>
  <c r="D1372" i="5" s="1"/>
  <c r="D1373" i="5" s="1"/>
  <c r="D1374" i="5" s="1"/>
  <c r="D1376" i="5" s="1"/>
  <c r="D1377" i="5" s="1"/>
  <c r="D1378" i="5" s="1"/>
  <c r="D1379" i="5" s="1"/>
  <c r="D1380" i="5" s="1"/>
  <c r="D1381" i="5" s="1"/>
  <c r="D1382" i="5" s="1"/>
  <c r="D1383" i="5" s="1"/>
  <c r="D1384" i="5" s="1"/>
  <c r="D1385" i="5" s="1"/>
  <c r="D1386" i="5" s="1"/>
  <c r="D1387" i="5" s="1"/>
  <c r="D1388" i="5" s="1"/>
  <c r="D1389" i="5" s="1"/>
  <c r="D1390" i="5" s="1"/>
  <c r="D1391" i="5" s="1"/>
  <c r="D1393" i="5" s="1"/>
  <c r="D1394" i="5" s="1"/>
  <c r="D1395" i="5" s="1"/>
  <c r="D1396" i="5" s="1"/>
  <c r="D1398" i="5" s="1"/>
  <c r="D1399" i="5" s="1"/>
  <c r="D1400" i="5" s="1"/>
  <c r="D1401" i="5" s="1"/>
  <c r="D1403" i="5" s="1"/>
  <c r="D1404" i="5" s="1"/>
  <c r="D1405" i="5" s="1"/>
  <c r="D1406" i="5" s="1"/>
  <c r="D1408" i="5" s="1"/>
  <c r="D1409" i="5" s="1"/>
  <c r="D1410" i="5" s="1"/>
  <c r="D1411" i="5" s="1"/>
  <c r="D1413" i="5" s="1"/>
  <c r="D1414" i="5" s="1"/>
  <c r="D1415" i="5" s="1"/>
  <c r="D1416" i="5" s="1"/>
  <c r="D1418" i="5" s="1"/>
  <c r="D1419" i="5" s="1"/>
  <c r="D1420" i="5" s="1"/>
  <c r="D1421" i="5" s="1"/>
  <c r="D1422" i="5" s="1"/>
  <c r="D1423" i="5" s="1"/>
  <c r="D1424" i="5" s="1"/>
  <c r="D1425" i="5" s="1"/>
  <c r="D1426" i="5" s="1"/>
  <c r="D1427" i="5" s="1"/>
  <c r="D1428" i="5" s="1"/>
  <c r="D1429" i="5" s="1"/>
  <c r="D1430" i="5" s="1"/>
  <c r="D1431" i="5" s="1"/>
  <c r="D1432" i="5" s="1"/>
  <c r="D1433" i="5" s="1"/>
  <c r="D1434" i="5" s="1"/>
  <c r="D1435" i="5" s="1"/>
  <c r="D1436" i="5" s="1"/>
  <c r="D1437" i="5" s="1"/>
  <c r="D1438" i="5" s="1"/>
  <c r="D1439" i="5" s="1"/>
  <c r="D1440" i="5" s="1"/>
  <c r="D1441" i="5" s="1"/>
  <c r="D1442" i="5" s="1"/>
  <c r="D1443" i="5" s="1"/>
  <c r="D1444" i="5" s="1"/>
  <c r="D1445" i="5" s="1"/>
  <c r="D1446" i="5" s="1"/>
  <c r="D1447" i="5" s="1"/>
  <c r="D1448" i="5" s="1"/>
  <c r="D1449" i="5" s="1"/>
  <c r="D1450" i="5" s="1"/>
  <c r="D1451" i="5" s="1"/>
  <c r="D1452" i="5" s="1"/>
  <c r="D1453" i="5" s="1"/>
  <c r="D1454" i="5" s="1"/>
  <c r="D1455" i="5" s="1"/>
  <c r="D1456" i="5" s="1"/>
  <c r="D1457" i="5" s="1"/>
  <c r="D1458" i="5" s="1"/>
  <c r="D1459" i="5" s="1"/>
  <c r="D1460" i="5" s="1"/>
  <c r="D1461" i="5" s="1"/>
  <c r="D1462" i="5" s="1"/>
  <c r="D1463" i="5" s="1"/>
  <c r="D1464" i="5" s="1"/>
  <c r="D1465" i="5" s="1"/>
  <c r="D1466" i="5" s="1"/>
  <c r="D1467" i="5" s="1"/>
  <c r="D1468" i="5" s="1"/>
  <c r="D1469" i="5" s="1"/>
  <c r="D1470" i="5" s="1"/>
  <c r="D1471" i="5" s="1"/>
  <c r="D1472" i="5" s="1"/>
  <c r="D1473" i="5" s="1"/>
  <c r="D1474" i="5" s="1"/>
  <c r="D1475" i="5" s="1"/>
  <c r="D1476" i="5" s="1"/>
  <c r="D1477" i="5" s="1"/>
  <c r="D1478" i="5" s="1"/>
  <c r="D1479" i="5" s="1"/>
  <c r="D1480" i="5" s="1"/>
  <c r="D1481" i="5" s="1"/>
  <c r="D1482" i="5" s="1"/>
  <c r="D1483" i="5" s="1"/>
  <c r="D1484" i="5" s="1"/>
  <c r="D1485" i="5" s="1"/>
  <c r="D1486" i="5" s="1"/>
  <c r="D1487" i="5" s="1"/>
  <c r="D1488" i="5" s="1"/>
  <c r="D1489" i="5" s="1"/>
  <c r="D1490" i="5" s="1"/>
  <c r="D1491" i="5" s="1"/>
  <c r="D1494" i="5" s="1"/>
  <c r="D1496" i="5" s="1"/>
  <c r="D1497" i="5" s="1"/>
  <c r="D1498" i="5" s="1"/>
  <c r="D1499" i="5" s="1"/>
  <c r="D1500" i="5" s="1"/>
  <c r="D1501" i="5" s="1"/>
  <c r="D1502" i="5" s="1"/>
  <c r="D1503" i="5" s="1"/>
  <c r="D1504" i="5" s="1"/>
  <c r="D1505" i="5" s="1"/>
  <c r="D1506" i="5" s="1"/>
  <c r="D1507" i="5" s="1"/>
  <c r="D1508" i="5" s="1"/>
  <c r="D1510" i="5" s="1"/>
  <c r="D1511" i="5" s="1"/>
  <c r="D1512" i="5" s="1"/>
  <c r="D1513" i="5" s="1"/>
  <c r="D1514" i="5" s="1"/>
  <c r="D1515" i="5" s="1"/>
  <c r="D1516" i="5" s="1"/>
  <c r="D1518" i="5" s="1"/>
  <c r="D1519" i="5" s="1"/>
  <c r="D1520" i="5" s="1"/>
  <c r="D1521" i="5" s="1"/>
  <c r="D1523" i="5" s="1"/>
  <c r="D1524" i="5" s="1"/>
  <c r="D1525" i="5" s="1"/>
  <c r="D1526" i="5" s="1"/>
  <c r="D1527" i="5" s="1"/>
  <c r="D1528" i="5" s="1"/>
  <c r="D1530" i="5" s="1"/>
  <c r="D1531" i="5" s="1"/>
  <c r="D1532" i="5" s="1"/>
  <c r="D1533" i="5" s="1"/>
  <c r="D1534" i="5" s="1"/>
  <c r="D1535" i="5" s="1"/>
  <c r="J409" i="2" l="1"/>
  <c r="K409" i="2" s="1"/>
  <c r="F567" i="2"/>
  <c r="F566" i="2"/>
  <c r="J487" i="2"/>
  <c r="K487" i="2" s="1"/>
  <c r="J485" i="2"/>
  <c r="K485" i="2" s="1"/>
  <c r="J482" i="2"/>
  <c r="K482" i="2" s="1"/>
  <c r="J314" i="2"/>
  <c r="K314" i="2" s="1"/>
  <c r="J300" i="2"/>
  <c r="K300" i="2" s="1"/>
  <c r="J299" i="2"/>
  <c r="K299" i="2" s="1"/>
  <c r="J298" i="2"/>
  <c r="K298" i="2" s="1"/>
  <c r="J297" i="2"/>
  <c r="K297" i="2" s="1"/>
  <c r="J296" i="2"/>
  <c r="K296" i="2" s="1"/>
  <c r="J288" i="2"/>
  <c r="K288" i="2" s="1"/>
  <c r="J287" i="2"/>
  <c r="K287" i="2" s="1"/>
  <c r="J286" i="2"/>
  <c r="K286" i="2" s="1"/>
  <c r="J285" i="2"/>
  <c r="K285" i="2" s="1"/>
  <c r="J284" i="2"/>
  <c r="K284" i="2" s="1"/>
  <c r="J271" i="2"/>
  <c r="K271" i="2" s="1"/>
  <c r="J270" i="2"/>
  <c r="K270" i="2" s="1"/>
  <c r="J269" i="2"/>
  <c r="K269" i="2" s="1"/>
  <c r="J268" i="2"/>
  <c r="K268" i="2" s="1"/>
  <c r="J267" i="2"/>
  <c r="K267" i="2" s="1"/>
  <c r="J231" i="2"/>
  <c r="K231" i="2" s="1"/>
  <c r="J230" i="2"/>
  <c r="K230" i="2" s="1"/>
  <c r="J229" i="2"/>
  <c r="K229" i="2" s="1"/>
  <c r="J228" i="2"/>
  <c r="K228" i="2" s="1"/>
  <c r="J227" i="2"/>
  <c r="K227" i="2" s="1"/>
  <c r="J544" i="2" l="1"/>
  <c r="K544" i="2" s="1"/>
  <c r="J551" i="2"/>
  <c r="K551" i="2" s="1"/>
  <c r="J550" i="2"/>
  <c r="K550" i="2" s="1"/>
  <c r="J549" i="2"/>
  <c r="K549" i="2" s="1"/>
  <c r="J548" i="2"/>
  <c r="K548" i="2" s="1"/>
  <c r="J547" i="2"/>
  <c r="K547" i="2" s="1"/>
  <c r="J546" i="2"/>
  <c r="K546" i="2" s="1"/>
  <c r="J545" i="2"/>
  <c r="K545" i="2" s="1"/>
  <c r="K501" i="2"/>
  <c r="J496" i="2"/>
  <c r="K496" i="2" s="1"/>
  <c r="E497" i="2" l="1"/>
  <c r="F497" i="2" s="1"/>
  <c r="F492" i="2"/>
  <c r="K463" i="2" l="1"/>
  <c r="J416" i="2"/>
  <c r="K416" i="2" s="1"/>
  <c r="K406" i="2"/>
  <c r="K405" i="2"/>
  <c r="K376" i="2"/>
  <c r="K372" i="2"/>
  <c r="K336" i="2"/>
  <c r="K335" i="2"/>
  <c r="J334" i="2"/>
  <c r="K334" i="2" s="1"/>
  <c r="J333" i="2"/>
  <c r="K333" i="2" s="1"/>
  <c r="J332" i="2"/>
  <c r="K332" i="2" s="1"/>
  <c r="K316" i="2"/>
  <c r="K294" i="2"/>
  <c r="K292" i="2"/>
  <c r="K280" i="2"/>
  <c r="K293" i="2"/>
  <c r="J291" i="2"/>
  <c r="K291" i="2" s="1"/>
  <c r="J282" i="2"/>
  <c r="K282" i="2" s="1"/>
  <c r="K281" i="2"/>
  <c r="J279" i="2"/>
  <c r="K279" i="2" s="1"/>
  <c r="J278" i="2"/>
  <c r="K278" i="2" s="1"/>
  <c r="J277" i="2"/>
  <c r="K277" i="2" s="1"/>
  <c r="J276" i="2"/>
  <c r="K276" i="2" s="1"/>
  <c r="J275" i="2"/>
  <c r="K275" i="2" s="1"/>
  <c r="K264" i="2" l="1"/>
  <c r="K263" i="2"/>
  <c r="J262" i="2"/>
  <c r="K262" i="2" s="1"/>
  <c r="J261" i="2"/>
  <c r="K261" i="2" s="1"/>
  <c r="J260" i="2"/>
  <c r="K260" i="2" s="1"/>
  <c r="J259" i="2"/>
  <c r="K259" i="2" s="1"/>
  <c r="J258" i="2"/>
  <c r="K258" i="2" s="1"/>
  <c r="J257" i="2"/>
  <c r="K257" i="2" s="1"/>
  <c r="J253" i="2"/>
  <c r="K253" i="2" s="1"/>
  <c r="J249" i="2"/>
  <c r="K249" i="2" s="1"/>
  <c r="J205" i="2"/>
  <c r="K205" i="2" s="1"/>
  <c r="J194" i="2"/>
  <c r="K194" i="2" s="1"/>
  <c r="J183" i="2"/>
  <c r="K183" i="2" s="1"/>
  <c r="J576" i="2"/>
  <c r="K576" i="2" s="1"/>
  <c r="J575" i="2"/>
  <c r="K575" i="2" s="1"/>
  <c r="J574" i="2"/>
  <c r="K574" i="2" s="1"/>
  <c r="J573" i="2"/>
  <c r="K573" i="2" s="1"/>
  <c r="J572" i="2"/>
  <c r="K572" i="2" s="1"/>
  <c r="J565" i="2"/>
  <c r="K565" i="2" s="1"/>
  <c r="J564" i="2"/>
  <c r="K564" i="2" s="1"/>
  <c r="J563" i="2"/>
  <c r="K563" i="2" s="1"/>
  <c r="J562" i="2"/>
  <c r="K562" i="2" s="1"/>
  <c r="J561" i="2"/>
  <c r="K561" i="2" s="1"/>
  <c r="J560" i="2"/>
  <c r="K560" i="2" s="1"/>
  <c r="J559" i="2"/>
  <c r="K559" i="2" s="1"/>
  <c r="J558" i="2"/>
  <c r="K558" i="2" s="1"/>
  <c r="J557" i="2"/>
  <c r="K557" i="2" s="1"/>
  <c r="J556" i="2"/>
  <c r="K556" i="2" s="1"/>
  <c r="K568" i="2"/>
  <c r="K542" i="2"/>
  <c r="K538" i="2"/>
  <c r="K457" i="2"/>
  <c r="J455" i="2"/>
  <c r="K455" i="2" s="1"/>
  <c r="K453" i="2"/>
  <c r="J451" i="2"/>
  <c r="K451" i="2" s="1"/>
  <c r="J420" i="2"/>
  <c r="K420" i="2" s="1"/>
  <c r="K415" i="2"/>
  <c r="J90" i="2" l="1"/>
  <c r="J89" i="2"/>
  <c r="J87" i="2"/>
  <c r="J86" i="2"/>
  <c r="J85" i="2"/>
  <c r="J82" i="2"/>
  <c r="K82" i="2" s="1"/>
  <c r="J81" i="2"/>
  <c r="K81" i="2" s="1"/>
  <c r="J80" i="2"/>
  <c r="K80" i="2" s="1"/>
  <c r="J79" i="2"/>
  <c r="K79" i="2" s="1"/>
  <c r="J77" i="2"/>
  <c r="J76" i="2"/>
  <c r="J75" i="2"/>
  <c r="J74" i="2"/>
  <c r="J73" i="2"/>
  <c r="J72" i="2"/>
  <c r="J71" i="2"/>
  <c r="J69" i="2"/>
  <c r="J68" i="2"/>
  <c r="J67" i="2"/>
  <c r="J66" i="2"/>
  <c r="J65" i="2"/>
  <c r="J64" i="2"/>
  <c r="J11" i="2" l="1"/>
  <c r="K11" i="2" s="1"/>
  <c r="J106" i="2"/>
  <c r="K106" i="2" s="1"/>
  <c r="J107" i="2"/>
  <c r="K107" i="2" s="1"/>
  <c r="J122" i="2"/>
  <c r="J123" i="2"/>
  <c r="K123" i="2" s="1"/>
  <c r="F118" i="2" l="1"/>
  <c r="K38" i="2"/>
  <c r="J39" i="2"/>
  <c r="H505" i="2"/>
  <c r="J118" i="2" l="1"/>
  <c r="J383" i="5"/>
  <c r="K383" i="5" s="1"/>
  <c r="J387" i="5"/>
  <c r="K387" i="5" s="1"/>
  <c r="J367" i="5"/>
  <c r="K367" i="5" s="1"/>
  <c r="J347" i="5"/>
  <c r="J376" i="5"/>
  <c r="K376" i="5" s="1"/>
  <c r="J409" i="5"/>
  <c r="K409" i="5" s="1"/>
  <c r="J396" i="5"/>
  <c r="K396" i="5" s="1"/>
  <c r="J379" i="5"/>
  <c r="K379" i="5" s="1"/>
  <c r="J350" i="5"/>
  <c r="K350" i="5" s="1"/>
  <c r="J393" i="5"/>
  <c r="K393" i="5" s="1"/>
  <c r="J356" i="5"/>
  <c r="K356" i="5" s="1"/>
  <c r="J363" i="5"/>
  <c r="K363" i="5" s="1"/>
  <c r="J359" i="5"/>
  <c r="K359" i="5" s="1"/>
  <c r="J353" i="5"/>
  <c r="K353" i="5" s="1"/>
  <c r="J405" i="5"/>
  <c r="K405" i="5" s="1"/>
  <c r="J390" i="5"/>
  <c r="K390" i="5" s="1"/>
  <c r="J402" i="5"/>
  <c r="K402" i="5" s="1"/>
  <c r="J373" i="5"/>
  <c r="K373" i="5" s="1"/>
  <c r="J399" i="5"/>
  <c r="K399" i="5" s="1"/>
  <c r="J370" i="5"/>
  <c r="K370" i="5" s="1"/>
  <c r="K118" i="2"/>
  <c r="J94" i="2"/>
  <c r="F8" i="2"/>
  <c r="J8" i="2" s="1"/>
  <c r="K347" i="5" l="1"/>
  <c r="K87" i="2"/>
  <c r="K86" i="2"/>
  <c r="K85" i="2"/>
  <c r="K71" i="2"/>
  <c r="K76" i="2"/>
  <c r="K75" i="2"/>
  <c r="K74" i="2"/>
  <c r="K73" i="2"/>
  <c r="K72" i="2"/>
  <c r="J61" i="2"/>
  <c r="K61" i="2" s="1"/>
  <c r="J60" i="2"/>
  <c r="K60" i="2" s="1"/>
  <c r="J59" i="2"/>
  <c r="K59" i="2" s="1"/>
  <c r="J58" i="2"/>
  <c r="K58" i="2" s="1"/>
  <c r="J57" i="2"/>
  <c r="K57" i="2" s="1"/>
  <c r="J56" i="2"/>
  <c r="K56" i="2" s="1"/>
  <c r="J55" i="2"/>
  <c r="K55" i="2" s="1"/>
  <c r="J54" i="2"/>
  <c r="K54" i="2" s="1"/>
  <c r="K68" i="2"/>
  <c r="K67" i="2"/>
  <c r="K66" i="2"/>
  <c r="K65" i="2"/>
  <c r="K64" i="2"/>
  <c r="J188" i="2"/>
  <c r="A137" i="2" l="1"/>
  <c r="A142" i="2" s="1"/>
  <c r="A145" i="2" s="1"/>
  <c r="A146" i="2" s="1"/>
  <c r="A150" i="2" s="1"/>
  <c r="A155" i="2" s="1"/>
  <c r="A158" i="2" s="1"/>
  <c r="A52" i="2"/>
  <c r="A62" i="2" s="1"/>
  <c r="A69" i="2" s="1"/>
  <c r="A77" i="2" s="1"/>
  <c r="A83" i="2" s="1"/>
  <c r="A89" i="2" s="1"/>
  <c r="A92" i="2" s="1"/>
  <c r="A94" i="2" s="1"/>
  <c r="A96" i="2" s="1"/>
  <c r="A99" i="2" s="1"/>
  <c r="A105" i="2" s="1"/>
  <c r="A109" i="2" s="1"/>
  <c r="A111" i="2" s="1"/>
  <c r="A115" i="2" s="1"/>
  <c r="A118" i="2" s="1"/>
  <c r="A122" i="2" s="1"/>
  <c r="A124" i="2" l="1"/>
  <c r="A126" i="2" s="1"/>
  <c r="A133" i="2" s="1"/>
  <c r="D197" i="4"/>
  <c r="D195" i="4"/>
  <c r="D194" i="4"/>
  <c r="D193" i="4"/>
  <c r="D192" i="4"/>
  <c r="D190" i="4"/>
  <c r="D188" i="4" l="1"/>
  <c r="D184" i="4"/>
  <c r="D182" i="4"/>
  <c r="D181" i="4"/>
  <c r="D180" i="4"/>
  <c r="D179" i="4"/>
  <c r="D177" i="4"/>
  <c r="D173" i="4"/>
  <c r="D172" i="4"/>
  <c r="D170" i="4"/>
  <c r="D167" i="4"/>
  <c r="D166" i="4"/>
  <c r="D163" i="4"/>
  <c r="D162" i="4"/>
  <c r="D160" i="4"/>
  <c r="D159" i="4"/>
  <c r="D155" i="4"/>
  <c r="D154" i="4"/>
  <c r="D151" i="4"/>
  <c r="D148" i="4"/>
  <c r="D147" i="4"/>
  <c r="D146" i="4"/>
  <c r="D145" i="4"/>
  <c r="D140" i="4"/>
  <c r="D139" i="4"/>
  <c r="D138" i="4"/>
  <c r="D135" i="4"/>
  <c r="D134" i="4"/>
  <c r="D133" i="4"/>
  <c r="D129" i="4"/>
  <c r="D128" i="4"/>
  <c r="D127" i="4"/>
  <c r="D126" i="4"/>
  <c r="D125" i="4"/>
  <c r="D124" i="4"/>
  <c r="D122" i="4"/>
  <c r="D121" i="4"/>
  <c r="D120" i="4"/>
  <c r="D119" i="4"/>
  <c r="D118" i="4"/>
  <c r="D117" i="4"/>
  <c r="D114" i="4"/>
  <c r="D111" i="4"/>
  <c r="D108" i="4"/>
  <c r="D105" i="4"/>
  <c r="D102" i="4"/>
  <c r="D100" i="4"/>
  <c r="D99" i="4"/>
  <c r="D96" i="4"/>
  <c r="D95" i="4"/>
  <c r="D93" i="4"/>
  <c r="D91" i="4"/>
  <c r="D90" i="4"/>
  <c r="D89" i="4"/>
  <c r="D87" i="4"/>
  <c r="D86" i="4"/>
  <c r="D78" i="4"/>
  <c r="D77" i="4"/>
  <c r="D74" i="4"/>
  <c r="D73" i="4"/>
  <c r="D71" i="4"/>
  <c r="D70" i="4"/>
  <c r="D69" i="4"/>
  <c r="D68" i="4"/>
  <c r="D67" i="4"/>
  <c r="D63" i="4"/>
  <c r="D62" i="4"/>
  <c r="D61" i="4"/>
  <c r="D59" i="4"/>
  <c r="D58" i="4"/>
  <c r="D52" i="4"/>
  <c r="D51" i="4"/>
  <c r="D49" i="4"/>
  <c r="D46" i="4"/>
  <c r="D43" i="4"/>
  <c r="D42" i="4"/>
  <c r="D41" i="4"/>
  <c r="D40" i="4"/>
  <c r="D38" i="4"/>
  <c r="D37" i="4"/>
  <c r="D36" i="4"/>
  <c r="D35" i="4"/>
  <c r="D33" i="4"/>
  <c r="D32" i="4"/>
  <c r="D31" i="4"/>
  <c r="D30" i="4"/>
  <c r="D27" i="4"/>
  <c r="D26" i="4"/>
  <c r="F641" i="2"/>
  <c r="F640" i="2"/>
  <c r="F637" i="2"/>
  <c r="F635" i="2"/>
  <c r="F633" i="2"/>
  <c r="F632" i="2"/>
  <c r="F625" i="2"/>
  <c r="F478" i="2"/>
  <c r="F621" i="2"/>
  <c r="F620" i="2"/>
  <c r="F614" i="2"/>
  <c r="F612" i="2"/>
  <c r="F611" i="2"/>
  <c r="F610" i="2"/>
  <c r="F609" i="2"/>
  <c r="F604" i="2"/>
  <c r="F602" i="2"/>
  <c r="F601" i="2"/>
  <c r="F599" i="2"/>
  <c r="F598" i="2"/>
  <c r="F591" i="2"/>
  <c r="F590" i="2"/>
  <c r="F589" i="2"/>
  <c r="D136" i="4" l="1"/>
  <c r="F136" i="4" s="1"/>
  <c r="J478" i="2"/>
  <c r="F624" i="2"/>
  <c r="F197" i="4"/>
  <c r="F195" i="4"/>
  <c r="F194" i="4"/>
  <c r="F193" i="4"/>
  <c r="F192" i="4"/>
  <c r="E190" i="4"/>
  <c r="F188" i="4"/>
  <c r="F184" i="4"/>
  <c r="F182" i="4"/>
  <c r="D178" i="4"/>
  <c r="E180" i="4"/>
  <c r="F180" i="4"/>
  <c r="F179" i="4"/>
  <c r="F177" i="4"/>
  <c r="E173" i="4"/>
  <c r="F173" i="4"/>
  <c r="F172" i="4"/>
  <c r="F170" i="4"/>
  <c r="F167" i="4"/>
  <c r="F166" i="4"/>
  <c r="E166" i="4"/>
  <c r="F163" i="4"/>
  <c r="E163" i="4"/>
  <c r="F162" i="4"/>
  <c r="E160" i="4"/>
  <c r="F159" i="4"/>
  <c r="F155" i="4"/>
  <c r="F154" i="4"/>
  <c r="E154" i="4"/>
  <c r="F151" i="4"/>
  <c r="F148" i="4"/>
  <c r="F147" i="4"/>
  <c r="F146" i="4"/>
  <c r="F145" i="4"/>
  <c r="E145" i="4"/>
  <c r="F140" i="4"/>
  <c r="F139" i="4"/>
  <c r="E138" i="4"/>
  <c r="F135" i="4"/>
  <c r="E135" i="4"/>
  <c r="F134" i="4"/>
  <c r="F129" i="4"/>
  <c r="E129" i="4"/>
  <c r="F128" i="4"/>
  <c r="F127" i="4"/>
  <c r="F126" i="4"/>
  <c r="F125" i="4"/>
  <c r="E125" i="4"/>
  <c r="F124" i="4"/>
  <c r="F122" i="4"/>
  <c r="F121" i="4"/>
  <c r="E120" i="4"/>
  <c r="F118" i="4"/>
  <c r="E118" i="4"/>
  <c r="F117" i="4"/>
  <c r="E114" i="4"/>
  <c r="F111" i="4"/>
  <c r="E111" i="4"/>
  <c r="E108" i="4"/>
  <c r="F105" i="4"/>
  <c r="F102" i="4"/>
  <c r="F100" i="4"/>
  <c r="E100" i="4"/>
  <c r="F99" i="4"/>
  <c r="F96" i="4"/>
  <c r="E95" i="4"/>
  <c r="F93" i="4"/>
  <c r="D92" i="4"/>
  <c r="F91" i="4"/>
  <c r="E91" i="4"/>
  <c r="E90" i="4"/>
  <c r="F89" i="4"/>
  <c r="F87" i="4"/>
  <c r="E87" i="4"/>
  <c r="F86" i="4"/>
  <c r="F78" i="4"/>
  <c r="F77" i="4"/>
  <c r="E74" i="4"/>
  <c r="F74" i="4"/>
  <c r="F73" i="4"/>
  <c r="D72" i="4"/>
  <c r="F71" i="4"/>
  <c r="E70" i="4"/>
  <c r="E69" i="4"/>
  <c r="F69" i="4"/>
  <c r="F68" i="4"/>
  <c r="F67" i="4"/>
  <c r="F63" i="4"/>
  <c r="E62" i="4"/>
  <c r="E61" i="4"/>
  <c r="E59" i="4"/>
  <c r="F59" i="4"/>
  <c r="E58" i="4"/>
  <c r="F52" i="4"/>
  <c r="F51" i="4"/>
  <c r="E51" i="4"/>
  <c r="E49" i="4"/>
  <c r="E46" i="4"/>
  <c r="E43" i="4"/>
  <c r="F43" i="4"/>
  <c r="F42" i="4"/>
  <c r="E41" i="4"/>
  <c r="F41" i="4"/>
  <c r="F40" i="4"/>
  <c r="F38" i="4"/>
  <c r="E38" i="4"/>
  <c r="F37" i="4"/>
  <c r="F36" i="4"/>
  <c r="E36" i="4"/>
  <c r="F35" i="4"/>
  <c r="D34" i="4"/>
  <c r="E33" i="4"/>
  <c r="F33" i="4"/>
  <c r="F32" i="4"/>
  <c r="F31" i="4"/>
  <c r="F30" i="4"/>
  <c r="F27" i="4"/>
  <c r="E27" i="4"/>
  <c r="F26" i="4"/>
  <c r="D132" i="4" l="1"/>
  <c r="F95" i="4"/>
  <c r="F133" i="4"/>
  <c r="F190" i="4"/>
  <c r="D98" i="4"/>
  <c r="F108" i="4"/>
  <c r="D116" i="4"/>
  <c r="F120" i="4"/>
  <c r="E127" i="4"/>
  <c r="D165" i="4"/>
  <c r="E193" i="4"/>
  <c r="D176" i="4"/>
  <c r="E122" i="4"/>
  <c r="E147" i="4"/>
  <c r="E155" i="4"/>
  <c r="E195" i="4"/>
  <c r="D60" i="4"/>
  <c r="D158" i="4"/>
  <c r="E167" i="4"/>
  <c r="E179" i="4"/>
  <c r="D94" i="4"/>
  <c r="D123" i="4"/>
  <c r="F62" i="4"/>
  <c r="D85" i="4"/>
  <c r="E133" i="4"/>
  <c r="E151" i="4"/>
  <c r="F160" i="4"/>
  <c r="E197" i="4"/>
  <c r="D29" i="4"/>
  <c r="D137" i="4"/>
  <c r="D66" i="4"/>
  <c r="F70" i="4"/>
  <c r="D76" i="4"/>
  <c r="D88" i="4"/>
  <c r="E93" i="4"/>
  <c r="E99" i="4"/>
  <c r="F114" i="4"/>
  <c r="E119" i="4"/>
  <c r="F138" i="4"/>
  <c r="E159" i="4"/>
  <c r="E181" i="4"/>
  <c r="E40" i="4"/>
  <c r="F61" i="4"/>
  <c r="F119" i="4"/>
  <c r="E124" i="4"/>
  <c r="E128" i="4"/>
  <c r="E134" i="4"/>
  <c r="E148" i="4"/>
  <c r="E170" i="4"/>
  <c r="F181" i="4"/>
  <c r="E192" i="4"/>
  <c r="E26" i="4"/>
  <c r="E31" i="4"/>
  <c r="E67" i="4"/>
  <c r="E71" i="4"/>
  <c r="E77" i="4"/>
  <c r="E89" i="4"/>
  <c r="E105" i="4"/>
  <c r="E139" i="4"/>
  <c r="E177" i="4"/>
  <c r="E30" i="4"/>
  <c r="E35" i="4"/>
  <c r="D57" i="4"/>
  <c r="D171" i="4"/>
  <c r="E182" i="4"/>
  <c r="E188" i="4"/>
  <c r="E68" i="4"/>
  <c r="E78" i="4"/>
  <c r="E140" i="4"/>
  <c r="D161" i="4"/>
  <c r="E172" i="4"/>
  <c r="D39" i="4"/>
  <c r="F49" i="4"/>
  <c r="E37" i="4"/>
  <c r="F46" i="4"/>
  <c r="F58" i="4"/>
  <c r="E73" i="4"/>
  <c r="F90" i="4"/>
  <c r="E117" i="4"/>
  <c r="E121" i="4"/>
  <c r="E32" i="4"/>
  <c r="E63" i="4"/>
  <c r="E42" i="4"/>
  <c r="E52" i="4"/>
  <c r="E86" i="4"/>
  <c r="E96" i="4"/>
  <c r="E102" i="4"/>
  <c r="E126" i="4"/>
  <c r="E136" i="4"/>
  <c r="E146" i="4"/>
  <c r="E162" i="4"/>
  <c r="E184" i="4"/>
  <c r="E194" i="4"/>
  <c r="D157" i="4" l="1"/>
  <c r="D84" i="4"/>
  <c r="A543" i="2" l="1"/>
  <c r="A553" i="2" s="1"/>
  <c r="A555" i="2" s="1"/>
  <c r="A566" i="2" s="1"/>
  <c r="A570" i="2" s="1"/>
  <c r="A572" i="2" s="1"/>
  <c r="A530" i="2"/>
  <c r="A535" i="2" s="1"/>
  <c r="A537" i="2" s="1"/>
  <c r="A516" i="2"/>
  <c r="D152" i="4"/>
  <c r="A481" i="2"/>
  <c r="A489" i="2" s="1"/>
  <c r="A495" i="2" s="1"/>
  <c r="A499" i="2" s="1"/>
  <c r="A502" i="2" s="1"/>
  <c r="K460" i="2"/>
  <c r="K459" i="2"/>
  <c r="A419" i="2"/>
  <c r="A426" i="2" s="1"/>
  <c r="A432" i="2" s="1"/>
  <c r="A438" i="2" s="1"/>
  <c r="A444" i="2" s="1"/>
  <c r="A450" i="2" s="1"/>
  <c r="A454" i="2" s="1"/>
  <c r="A458" i="2" s="1"/>
  <c r="A462" i="2" s="1"/>
  <c r="A464" i="2" s="1"/>
  <c r="A465" i="2" s="1"/>
  <c r="A404" i="2"/>
  <c r="A408" i="2" s="1"/>
  <c r="A411" i="2" s="1"/>
  <c r="F152" i="4" l="1"/>
  <c r="E152" i="4"/>
  <c r="A378" i="2"/>
  <c r="A389" i="2" s="1"/>
  <c r="A390" i="2" s="1"/>
  <c r="A394" i="2" s="1"/>
  <c r="J362" i="2"/>
  <c r="K362" i="2" s="1"/>
  <c r="J361" i="2"/>
  <c r="K361" i="2" s="1"/>
  <c r="J360" i="2"/>
  <c r="K360" i="2" s="1"/>
  <c r="J359" i="2"/>
  <c r="K359" i="2" s="1"/>
  <c r="J358" i="2"/>
  <c r="K358" i="2" s="1"/>
  <c r="J356" i="2"/>
  <c r="K356" i="2" s="1"/>
  <c r="J355" i="2"/>
  <c r="K355" i="2" s="1"/>
  <c r="J354" i="2"/>
  <c r="K354" i="2" s="1"/>
  <c r="J353" i="2"/>
  <c r="K353" i="2" s="1"/>
  <c r="J352" i="2"/>
  <c r="K352" i="2" s="1"/>
  <c r="J351" i="2"/>
  <c r="K351" i="2" s="1"/>
  <c r="J350" i="2"/>
  <c r="K350" i="2" s="1"/>
  <c r="A330" i="2"/>
  <c r="A331" i="2" s="1"/>
  <c r="A335" i="2" s="1"/>
  <c r="A338" i="2" s="1"/>
  <c r="A347" i="2" s="1"/>
  <c r="A349" i="2" s="1"/>
  <c r="A357" i="2" s="1"/>
  <c r="A364" i="2" s="1"/>
  <c r="A371" i="2" s="1"/>
  <c r="A313" i="2"/>
  <c r="A320" i="2" s="1"/>
  <c r="A226" i="2"/>
  <c r="A233" i="2" s="1"/>
  <c r="A240" i="2" s="1"/>
  <c r="A248" i="2" s="1"/>
  <c r="A181" i="2"/>
  <c r="A192" i="2" s="1"/>
  <c r="A203" i="2" s="1"/>
  <c r="A214" i="2" s="1"/>
  <c r="A216" i="2" s="1"/>
  <c r="A218" i="2" s="1"/>
  <c r="A251" i="2" l="1"/>
  <c r="A255" i="2" s="1"/>
  <c r="A256" i="2" s="1"/>
  <c r="A262" i="2" s="1"/>
  <c r="A266" i="2" s="1"/>
  <c r="A273" i="2" s="1"/>
  <c r="A274" i="2" s="1"/>
  <c r="A280" i="2" s="1"/>
  <c r="A283" i="2" s="1"/>
  <c r="A290" i="2" s="1"/>
  <c r="A295" i="2" s="1"/>
  <c r="A302" i="2" s="1"/>
  <c r="F647" i="2" l="1"/>
  <c r="B648" i="2" s="1"/>
  <c r="J14" i="2"/>
  <c r="J10" i="2" l="1"/>
  <c r="J132" i="2"/>
  <c r="K132" i="2" s="1"/>
  <c r="J131" i="2"/>
  <c r="K131" i="2" s="1"/>
  <c r="J130" i="2"/>
  <c r="K130" i="2" s="1"/>
  <c r="J129" i="2"/>
  <c r="K129" i="2" s="1"/>
  <c r="J128" i="2"/>
  <c r="K128" i="2" s="1"/>
  <c r="J127" i="2"/>
  <c r="K127" i="2" s="1"/>
  <c r="J126" i="2"/>
  <c r="K126" i="2" s="1"/>
  <c r="J97" i="2"/>
  <c r="K97" i="2" s="1"/>
  <c r="K94" i="2"/>
  <c r="J163" i="2" l="1"/>
  <c r="J162" i="2"/>
  <c r="J518" i="2"/>
  <c r="J517" i="2"/>
  <c r="J506" i="2"/>
  <c r="J357" i="2"/>
  <c r="J317" i="2"/>
  <c r="J312" i="2"/>
  <c r="J311" i="2"/>
  <c r="J310" i="2"/>
  <c r="J309" i="2"/>
  <c r="J308" i="2"/>
  <c r="J499" i="2"/>
  <c r="J495" i="2"/>
  <c r="J305" i="2"/>
  <c r="J252" i="2"/>
  <c r="J251" i="2"/>
  <c r="J242" i="2"/>
  <c r="J211" i="2"/>
  <c r="J200" i="2"/>
  <c r="J199" i="2"/>
  <c r="J189" i="2"/>
  <c r="J181" i="2"/>
  <c r="J178" i="2"/>
  <c r="J177" i="2"/>
  <c r="J168" i="2"/>
  <c r="J133" i="2"/>
  <c r="J124" i="2"/>
  <c r="J116" i="2"/>
  <c r="J42" i="2"/>
  <c r="E212" i="2" l="1"/>
  <c r="E201" i="2"/>
  <c r="E190" i="2"/>
  <c r="E179" i="2"/>
  <c r="F16" i="2" l="1"/>
  <c r="J16" i="2" s="1"/>
  <c r="J17" i="2"/>
  <c r="J18" i="2"/>
  <c r="J19" i="2"/>
  <c r="J20" i="2"/>
  <c r="J21" i="2"/>
  <c r="J22" i="2"/>
  <c r="J23" i="2"/>
  <c r="F7" i="2"/>
  <c r="J7" i="2" s="1"/>
  <c r="J566" i="2" l="1"/>
  <c r="J96" i="2" l="1"/>
  <c r="D185" i="4" l="1"/>
  <c r="F642" i="2"/>
  <c r="F6" i="2"/>
  <c r="F523" i="2"/>
  <c r="D153" i="4" l="1"/>
  <c r="E153" i="4" s="1"/>
  <c r="J523" i="2"/>
  <c r="F185" i="4"/>
  <c r="D183" i="4"/>
  <c r="D175" i="4" s="1"/>
  <c r="E185" i="4"/>
  <c r="F629" i="2"/>
  <c r="J519" i="2"/>
  <c r="D150" i="4" l="1"/>
  <c r="D149" i="4" s="1"/>
  <c r="F153" i="4"/>
  <c r="H514" i="2"/>
  <c r="H513" i="2"/>
  <c r="H512" i="2"/>
  <c r="H511" i="2"/>
  <c r="H510" i="2"/>
  <c r="H509" i="2"/>
  <c r="H508" i="2"/>
  <c r="H507" i="2"/>
  <c r="H506" i="2"/>
  <c r="F448" i="2"/>
  <c r="D115" i="4" s="1"/>
  <c r="F442" i="2"/>
  <c r="D112" i="4" s="1"/>
  <c r="F115" i="4" l="1"/>
  <c r="D113" i="4"/>
  <c r="E115" i="4"/>
  <c r="F112" i="4"/>
  <c r="D110" i="4"/>
  <c r="E112" i="4"/>
  <c r="J448" i="2"/>
  <c r="F619" i="2"/>
  <c r="J442" i="2"/>
  <c r="F618" i="2"/>
  <c r="E493" i="2"/>
  <c r="F493" i="2" s="1"/>
  <c r="D142" i="4" s="1"/>
  <c r="J492" i="2"/>
  <c r="F436" i="2"/>
  <c r="D109" i="4" s="1"/>
  <c r="F430" i="2"/>
  <c r="D106" i="4" s="1"/>
  <c r="D141" i="4" l="1"/>
  <c r="E142" i="4"/>
  <c r="F142" i="4"/>
  <c r="F106" i="4"/>
  <c r="E106" i="4"/>
  <c r="D104" i="4"/>
  <c r="F109" i="4"/>
  <c r="D107" i="4"/>
  <c r="E109" i="4"/>
  <c r="J493" i="2"/>
  <c r="F626" i="2"/>
  <c r="J436" i="2"/>
  <c r="F617" i="2"/>
  <c r="J430" i="2"/>
  <c r="F616" i="2"/>
  <c r="F424" i="2"/>
  <c r="D103" i="4" s="1"/>
  <c r="F103" i="4" l="1"/>
  <c r="E103" i="4"/>
  <c r="D101" i="4"/>
  <c r="D97" i="4" s="1"/>
  <c r="D83" i="4" s="1"/>
  <c r="J424" i="2"/>
  <c r="F615" i="2"/>
  <c r="F363" i="2" l="1"/>
  <c r="J363" i="2" s="1"/>
  <c r="E315" i="2"/>
  <c r="J320" i="2" l="1"/>
  <c r="F246" i="2"/>
  <c r="D28" i="4" s="1"/>
  <c r="F238" i="2"/>
  <c r="D24" i="4" s="1"/>
  <c r="F234" i="2"/>
  <c r="F225" i="2"/>
  <c r="D21" i="4" s="1"/>
  <c r="F209" i="2"/>
  <c r="J209" i="2" s="1"/>
  <c r="F198" i="2"/>
  <c r="F204" i="2"/>
  <c r="J204" i="2" s="1"/>
  <c r="F193" i="2"/>
  <c r="J193" i="2" s="1"/>
  <c r="F179" i="2"/>
  <c r="F187" i="2"/>
  <c r="F176" i="2"/>
  <c r="F182" i="2"/>
  <c r="J182" i="2" s="1"/>
  <c r="D14" i="4" l="1"/>
  <c r="F14" i="4" s="1"/>
  <c r="J198" i="2"/>
  <c r="D17" i="4"/>
  <c r="F17" i="4" s="1"/>
  <c r="D8" i="4"/>
  <c r="E8" i="4" s="1"/>
  <c r="J176" i="2"/>
  <c r="D11" i="4"/>
  <c r="E11" i="4" s="1"/>
  <c r="J187" i="2"/>
  <c r="J234" i="2"/>
  <c r="D23" i="4"/>
  <c r="J179" i="2"/>
  <c r="D9" i="4"/>
  <c r="D20" i="4"/>
  <c r="F21" i="4"/>
  <c r="E21" i="4"/>
  <c r="E24" i="4"/>
  <c r="F24" i="4"/>
  <c r="E28" i="4"/>
  <c r="D25" i="4"/>
  <c r="F28" i="4"/>
  <c r="F595" i="2"/>
  <c r="D54" i="4"/>
  <c r="J246" i="2"/>
  <c r="F588" i="2"/>
  <c r="J238" i="2"/>
  <c r="F587" i="2"/>
  <c r="J225" i="2"/>
  <c r="F586" i="2"/>
  <c r="E17" i="4" l="1"/>
  <c r="F11" i="4"/>
  <c r="E14" i="4"/>
  <c r="F8" i="4"/>
  <c r="F9" i="4"/>
  <c r="E9" i="4"/>
  <c r="F23" i="4"/>
  <c r="E23" i="4"/>
  <c r="D22" i="4"/>
  <c r="E54" i="4"/>
  <c r="F54" i="4"/>
  <c r="D53" i="4"/>
  <c r="E303" i="2"/>
  <c r="F580" i="5" s="1"/>
  <c r="J580" i="5" s="1"/>
  <c r="J1" i="5" s="1"/>
  <c r="A2" i="5" l="1"/>
  <c r="J3" i="5"/>
  <c r="J2" i="5"/>
  <c r="J113" i="2"/>
  <c r="J112" i="2"/>
  <c r="J111" i="2"/>
  <c r="J103" i="2"/>
  <c r="J92" i="2"/>
  <c r="J83" i="2"/>
  <c r="J62" i="2"/>
  <c r="J52" i="2"/>
  <c r="J452" i="2"/>
  <c r="J210" i="2" l="1"/>
  <c r="J158" i="2" l="1"/>
  <c r="F148" i="2"/>
  <c r="J148" i="2" s="1"/>
  <c r="J143" i="2"/>
  <c r="F142" i="2"/>
  <c r="J141" i="2"/>
  <c r="J140" i="2"/>
  <c r="J139" i="2"/>
  <c r="J138" i="2"/>
  <c r="E144" i="2" l="1"/>
  <c r="F144" i="2" s="1"/>
  <c r="J142" i="2"/>
  <c r="J146" i="2"/>
  <c r="J144" i="2" l="1"/>
  <c r="F644" i="2"/>
  <c r="D189" i="4"/>
  <c r="J534" i="2"/>
  <c r="J533" i="2"/>
  <c r="J532" i="2"/>
  <c r="J531" i="2"/>
  <c r="J515" i="2"/>
  <c r="J514" i="2"/>
  <c r="J513" i="2"/>
  <c r="J512" i="2"/>
  <c r="J511" i="2"/>
  <c r="J510" i="2"/>
  <c r="J509" i="2"/>
  <c r="J508" i="2"/>
  <c r="J507" i="2"/>
  <c r="J483" i="2"/>
  <c r="J479" i="2"/>
  <c r="J475" i="2"/>
  <c r="J473" i="2"/>
  <c r="J456" i="2"/>
  <c r="J417" i="2"/>
  <c r="E389" i="2"/>
  <c r="F389" i="2" s="1"/>
  <c r="D82" i="4" s="1"/>
  <c r="E378" i="2"/>
  <c r="F378" i="2" s="1"/>
  <c r="D80" i="4" s="1"/>
  <c r="E347" i="2"/>
  <c r="F347" i="2" s="1"/>
  <c r="D65" i="4" s="1"/>
  <c r="J328" i="2"/>
  <c r="J326" i="2"/>
  <c r="E82" i="4" l="1"/>
  <c r="D81" i="4"/>
  <c r="F82" i="4"/>
  <c r="E80" i="4"/>
  <c r="D79" i="4"/>
  <c r="F80" i="4"/>
  <c r="E189" i="4"/>
  <c r="F189" i="4"/>
  <c r="D187" i="4"/>
  <c r="D64" i="4"/>
  <c r="D56" i="4" s="1"/>
  <c r="E65" i="4"/>
  <c r="F65" i="4"/>
  <c r="J378" i="2"/>
  <c r="F605" i="2"/>
  <c r="J389" i="2"/>
  <c r="F606" i="2"/>
  <c r="J347" i="2"/>
  <c r="F600" i="2"/>
  <c r="F315" i="2"/>
  <c r="D50" i="4" s="1"/>
  <c r="D144" i="4"/>
  <c r="F303" i="2"/>
  <c r="D45" i="4" s="1"/>
  <c r="J218" i="2"/>
  <c r="J217" i="2"/>
  <c r="J216" i="2"/>
  <c r="J215" i="2"/>
  <c r="J214" i="2"/>
  <c r="F212" i="2"/>
  <c r="J212" i="2" s="1"/>
  <c r="F201" i="2"/>
  <c r="D15" i="4" s="1"/>
  <c r="F190" i="2"/>
  <c r="D12" i="4" s="1"/>
  <c r="D75" i="4" l="1"/>
  <c r="D55" i="4" s="1"/>
  <c r="F45" i="4"/>
  <c r="D44" i="4"/>
  <c r="D19" i="4" s="1"/>
  <c r="E45" i="4"/>
  <c r="F50" i="4"/>
  <c r="E50" i="4"/>
  <c r="D48" i="4"/>
  <c r="D47" i="4" s="1"/>
  <c r="F15" i="4"/>
  <c r="E15" i="4"/>
  <c r="D13" i="4"/>
  <c r="J567" i="2"/>
  <c r="D169" i="4"/>
  <c r="F636" i="2"/>
  <c r="E12" i="4"/>
  <c r="F12" i="4"/>
  <c r="D10" i="4"/>
  <c r="F144" i="4"/>
  <c r="D143" i="4"/>
  <c r="D131" i="4" s="1"/>
  <c r="D130" i="4" s="1"/>
  <c r="E144" i="4"/>
  <c r="F584" i="2"/>
  <c r="D18" i="4"/>
  <c r="J497" i="2"/>
  <c r="F627" i="2"/>
  <c r="J190" i="2"/>
  <c r="F582" i="2"/>
  <c r="J315" i="2"/>
  <c r="F594" i="2"/>
  <c r="J201" i="2"/>
  <c r="F583" i="2"/>
  <c r="J303" i="2"/>
  <c r="F592" i="2"/>
  <c r="F170" i="2"/>
  <c r="F171" i="2" l="1"/>
  <c r="J171" i="2" s="1"/>
  <c r="J172" i="2"/>
  <c r="K172" i="2" s="1"/>
  <c r="F18" i="4"/>
  <c r="E18" i="4"/>
  <c r="D16" i="4"/>
  <c r="E169" i="4"/>
  <c r="F169" i="4"/>
  <c r="D168" i="4"/>
  <c r="D164" i="4" s="1"/>
  <c r="D156" i="4" s="1"/>
  <c r="J164" i="2"/>
  <c r="J161" i="2"/>
  <c r="J160" i="2"/>
  <c r="J159" i="2"/>
  <c r="J464" i="2"/>
  <c r="J349" i="2"/>
  <c r="J169" i="2"/>
  <c r="J203" i="2"/>
  <c r="J192" i="2"/>
  <c r="J302" i="2"/>
  <c r="J248" i="2"/>
  <c r="J221" i="2"/>
  <c r="J120" i="2"/>
  <c r="J119" i="2"/>
  <c r="J115" i="2"/>
  <c r="J46" i="2"/>
  <c r="J45" i="2"/>
  <c r="J44" i="2"/>
  <c r="J43" i="2"/>
  <c r="J41" i="2"/>
  <c r="J40" i="2"/>
  <c r="J37" i="2"/>
  <c r="J36" i="2"/>
  <c r="J35" i="2"/>
  <c r="J34" i="2"/>
  <c r="J33" i="2"/>
  <c r="J32" i="2"/>
  <c r="J31" i="2"/>
  <c r="J30" i="2"/>
  <c r="J29" i="2"/>
  <c r="J28" i="2"/>
  <c r="J27" i="2"/>
  <c r="J26" i="2"/>
  <c r="J25" i="2"/>
  <c r="J24" i="2"/>
  <c r="J15" i="2"/>
  <c r="J13" i="2"/>
  <c r="J9" i="2"/>
  <c r="J6" i="2"/>
  <c r="D7" i="4" l="1"/>
  <c r="D6" i="4" s="1"/>
  <c r="D5" i="4" s="1"/>
  <c r="D4" i="4" s="1"/>
  <c r="F581" i="2"/>
  <c r="E155" i="2"/>
  <c r="F155" i="2" s="1"/>
  <c r="J155" i="2" s="1"/>
  <c r="K155" i="2" s="1"/>
  <c r="F7" i="4" l="1"/>
  <c r="E7" i="4"/>
  <c r="F645" i="2"/>
  <c r="D196" i="4"/>
  <c r="F608" i="2"/>
  <c r="F196" i="4" l="1"/>
  <c r="D191" i="4"/>
  <c r="D186" i="4" s="1"/>
  <c r="D174" i="4" s="1"/>
  <c r="D199" i="4" s="1"/>
  <c r="E199" i="4" s="1"/>
  <c r="D200" i="4" s="1"/>
  <c r="E196" i="4"/>
  <c r="F603" i="2"/>
  <c r="F639" i="2" l="1"/>
  <c r="F631" i="2" l="1"/>
  <c r="F597" i="2"/>
  <c r="F596" i="2" s="1"/>
  <c r="F593" i="2" l="1"/>
  <c r="F634" i="2"/>
  <c r="F630" i="2" s="1"/>
  <c r="F628" i="2"/>
  <c r="F623" i="2" l="1"/>
  <c r="F622" i="2" s="1"/>
  <c r="F643" i="2"/>
  <c r="F638" i="2" s="1"/>
  <c r="J170" i="2" l="1"/>
  <c r="J1" i="2" s="1"/>
  <c r="J3" i="2" l="1"/>
  <c r="J2" i="2"/>
  <c r="F613" i="2"/>
  <c r="F607" i="2" s="1"/>
  <c r="F580" i="2" l="1"/>
  <c r="A14" i="2" l="1"/>
  <c r="A15" i="2" s="1"/>
  <c r="D7" i="2"/>
  <c r="D8" i="2" l="1"/>
  <c r="D9" i="2" s="1"/>
  <c r="D10" i="2" s="1"/>
  <c r="D11" i="2" s="1"/>
  <c r="D13" i="2" s="1"/>
  <c r="D14" i="2" s="1"/>
  <c r="D15" i="2" s="1"/>
  <c r="D16" i="2" s="1"/>
  <c r="D17" i="2" s="1"/>
  <c r="D18" i="2" s="1"/>
  <c r="D19" i="2" s="1"/>
  <c r="D20" i="2" s="1"/>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50" i="2" s="1"/>
  <c r="D52" i="2" s="1"/>
  <c r="A16" i="2"/>
  <c r="A20" i="2" s="1"/>
  <c r="A21" i="2" s="1"/>
  <c r="A23" i="2" s="1"/>
  <c r="A25" i="2" s="1"/>
  <c r="A27" i="2" s="1"/>
  <c r="A29" i="2" s="1"/>
  <c r="A30" i="2" s="1"/>
  <c r="A33" i="2" s="1"/>
  <c r="A36" i="2" s="1"/>
  <c r="A37" i="2" s="1"/>
  <c r="A38" i="2" s="1"/>
  <c r="A44" i="2" l="1"/>
  <c r="A45" i="2" s="1"/>
  <c r="A46" i="2" s="1"/>
  <c r="D54" i="2" l="1"/>
  <c r="D55" i="2" l="1"/>
  <c r="D56" i="2" s="1"/>
  <c r="D57" i="2" s="1"/>
  <c r="D58" i="2" s="1"/>
  <c r="D59" i="2" s="1"/>
  <c r="D60" i="2" s="1"/>
  <c r="D61" i="2" s="1"/>
  <c r="D62" i="2" s="1"/>
  <c r="D64" i="2" s="1"/>
  <c r="D65" i="2" s="1"/>
  <c r="D66" i="2" s="1"/>
  <c r="D67" i="2" s="1"/>
  <c r="D68" i="2" s="1"/>
  <c r="D69" i="2" s="1"/>
  <c r="D71" i="2" s="1"/>
  <c r="D72" i="2" s="1"/>
  <c r="D73" i="2" s="1"/>
  <c r="D74" i="2" s="1"/>
  <c r="D75" i="2" s="1"/>
  <c r="D76" i="2" s="1"/>
  <c r="D77" i="2" s="1"/>
  <c r="D79" i="2" l="1"/>
  <c r="D80" i="2" s="1"/>
  <c r="D81" i="2" l="1"/>
  <c r="D82" i="2" s="1"/>
  <c r="D83" i="2" s="1"/>
  <c r="D85" i="2" s="1"/>
  <c r="D86" i="2" s="1"/>
  <c r="D87" i="2" l="1"/>
  <c r="D89" i="2" s="1"/>
  <c r="D90" i="2" s="1"/>
  <c r="D92" i="2" s="1"/>
  <c r="D94" i="2" s="1"/>
  <c r="D96" i="2" l="1"/>
  <c r="D97" i="2" l="1"/>
  <c r="D99" i="2" s="1"/>
  <c r="D100" i="2" s="1"/>
  <c r="D101" i="2" s="1"/>
  <c r="D102" i="2" s="1"/>
  <c r="D103" i="2" s="1"/>
  <c r="D105" i="2" s="1"/>
  <c r="D106" i="2" l="1"/>
  <c r="D107" i="2" s="1"/>
  <c r="D109" i="2" s="1"/>
  <c r="D111" i="2" s="1"/>
  <c r="D112" i="2" l="1"/>
  <c r="D113" i="2" s="1"/>
  <c r="D115" i="2" l="1"/>
  <c r="D116" i="2" l="1"/>
  <c r="D118" i="2" l="1"/>
  <c r="D119" i="2" l="1"/>
  <c r="D120" i="2" s="1"/>
  <c r="D122" i="2" l="1"/>
  <c r="D123" i="2" s="1"/>
  <c r="D124" i="2" l="1"/>
  <c r="D126" i="2" s="1"/>
  <c r="D127" i="2" s="1"/>
  <c r="D128" i="2" s="1"/>
  <c r="D129" i="2" s="1"/>
  <c r="D130" i="2" s="1"/>
  <c r="D131" i="2" s="1"/>
  <c r="D132" i="2" s="1"/>
  <c r="D133" i="2" s="1"/>
  <c r="D136" i="2" s="1"/>
  <c r="F585" i="2" l="1"/>
  <c r="F579" i="2" s="1"/>
  <c r="F646" i="2" s="1"/>
  <c r="D138" i="2" l="1"/>
  <c r="D139" i="2" s="1"/>
  <c r="D140" i="2" s="1"/>
  <c r="D141" i="2" s="1"/>
  <c r="D142" i="2" s="1"/>
  <c r="D143" i="2" s="1"/>
  <c r="D144" i="2" s="1"/>
  <c r="D145" i="2" s="1"/>
  <c r="D146" i="2" s="1"/>
  <c r="D147" i="2" s="1"/>
  <c r="D148" i="2" s="1"/>
  <c r="D151" i="2" s="1"/>
  <c r="D152" i="2" s="1"/>
  <c r="D153" i="2" l="1"/>
  <c r="D154" i="2" l="1"/>
  <c r="D155" i="2" s="1"/>
  <c r="D156" i="2" l="1"/>
  <c r="D158" i="2" s="1"/>
  <c r="D159" i="2" s="1"/>
  <c r="D160" i="2" s="1"/>
  <c r="D161" i="2" s="1"/>
  <c r="D162" i="2" s="1"/>
  <c r="D163" i="2" s="1"/>
  <c r="D164" i="2" s="1"/>
  <c r="D168" i="2" l="1"/>
  <c r="D169" i="2" s="1"/>
  <c r="D170" i="2" s="1"/>
  <c r="D171" i="2" s="1"/>
  <c r="D172" i="2" s="1"/>
  <c r="D173" i="2" s="1"/>
  <c r="D174" i="2" s="1"/>
  <c r="D175" i="2" s="1"/>
  <c r="D176" i="2" s="1"/>
  <c r="D177" i="2" s="1"/>
  <c r="D178" i="2" s="1"/>
  <c r="D179" i="2" s="1"/>
  <c r="D181" i="2" s="1"/>
  <c r="D182" i="2" s="1"/>
  <c r="D183" i="2" s="1"/>
  <c r="D184" i="2" l="1"/>
  <c r="D185" i="2" s="1"/>
  <c r="D186" i="2" s="1"/>
  <c r="D187" i="2" s="1"/>
  <c r="D188" i="2" s="1"/>
  <c r="D189" i="2" l="1"/>
  <c r="D190" i="2" s="1"/>
  <c r="D192" i="2" l="1"/>
  <c r="D193" i="2" s="1"/>
  <c r="D194" i="2" s="1"/>
  <c r="D195" i="2" l="1"/>
  <c r="D196" i="2" s="1"/>
  <c r="D197" i="2" s="1"/>
  <c r="D198" i="2" s="1"/>
  <c r="D199" i="2" s="1"/>
  <c r="D200" i="2" l="1"/>
  <c r="D201" i="2" s="1"/>
  <c r="D203" i="2" l="1"/>
  <c r="D204" i="2" s="1"/>
  <c r="D205" i="2" s="1"/>
  <c r="D206" i="2" l="1"/>
  <c r="D207" i="2" s="1"/>
  <c r="D208" i="2" s="1"/>
  <c r="D209" i="2" s="1"/>
  <c r="D210" i="2" s="1"/>
  <c r="D211" i="2" s="1"/>
  <c r="D212" i="2" s="1"/>
  <c r="D214" i="2" l="1"/>
  <c r="D215" i="2" s="1"/>
  <c r="D216" i="2" s="1"/>
  <c r="D217" i="2" s="1"/>
  <c r="D218" i="2" s="1"/>
  <c r="D221" i="2" s="1"/>
  <c r="D222" i="2" s="1"/>
  <c r="D223" i="2" s="1"/>
  <c r="D224" i="2" s="1"/>
  <c r="D225" i="2" s="1"/>
  <c r="D227" i="2" s="1"/>
  <c r="D228" i="2" s="1"/>
  <c r="D229" i="2" s="1"/>
  <c r="D230" i="2" s="1"/>
  <c r="D231" i="2" s="1"/>
  <c r="D233" i="2" l="1"/>
  <c r="D234" i="2" s="1"/>
  <c r="D235" i="2" l="1"/>
  <c r="D236" i="2" s="1"/>
  <c r="D237" i="2" s="1"/>
  <c r="D238" i="2" s="1"/>
  <c r="D240" i="2" l="1"/>
  <c r="D241" i="2" l="1"/>
  <c r="D242" i="2" s="1"/>
  <c r="D243" i="2" s="1"/>
  <c r="D244" i="2" s="1"/>
  <c r="D245" i="2" s="1"/>
  <c r="D246" i="2" s="1"/>
  <c r="D248" i="2" l="1"/>
  <c r="D249" i="2" s="1"/>
  <c r="D251" i="2" l="1"/>
  <c r="D252" i="2" s="1"/>
  <c r="D253" i="2" s="1"/>
  <c r="D255" i="2" s="1"/>
  <c r="D257" i="2" l="1"/>
  <c r="D258" i="2" s="1"/>
  <c r="D259" i="2" s="1"/>
  <c r="D260" i="2" s="1"/>
  <c r="D261" i="2" s="1"/>
  <c r="D262" i="2" s="1"/>
  <c r="D263" i="2" s="1"/>
  <c r="D264" i="2" s="1"/>
  <c r="D265" i="2" s="1"/>
  <c r="D267" i="2" s="1"/>
  <c r="D268" i="2" s="1"/>
  <c r="D269" i="2" s="1"/>
  <c r="D270" i="2" s="1"/>
  <c r="D271" i="2" s="1"/>
  <c r="D273" i="2" s="1"/>
  <c r="D275" i="2" l="1"/>
  <c r="D276" i="2" s="1"/>
  <c r="D277" i="2" s="1"/>
  <c r="D278" i="2" s="1"/>
  <c r="D279" i="2" s="1"/>
  <c r="D280" i="2" s="1"/>
  <c r="D281" i="2" s="1"/>
  <c r="D282" i="2" s="1"/>
  <c r="D284" i="2" s="1"/>
  <c r="D285" i="2" s="1"/>
  <c r="D286" i="2" s="1"/>
  <c r="D287" i="2" s="1"/>
  <c r="D288" i="2" s="1"/>
  <c r="D290" i="2" s="1"/>
  <c r="D291" i="2" l="1"/>
  <c r="D292" i="2" s="1"/>
  <c r="D293" i="2" s="1"/>
  <c r="D294" i="2" s="1"/>
  <c r="D296" i="2" s="1"/>
  <c r="D297" i="2" s="1"/>
  <c r="D298" i="2" s="1"/>
  <c r="D299" i="2" s="1"/>
  <c r="D300" i="2" s="1"/>
  <c r="D302" i="2" s="1"/>
  <c r="D303" i="2" s="1"/>
  <c r="D304" i="2" l="1"/>
  <c r="D305" i="2" s="1"/>
  <c r="D308" i="2" s="1"/>
  <c r="D309" i="2" l="1"/>
  <c r="D310" i="2" s="1"/>
  <c r="D311" i="2" s="1"/>
  <c r="D312" i="2" s="1"/>
  <c r="D313" i="2" s="1"/>
  <c r="D314" i="2" s="1"/>
  <c r="D315" i="2" s="1"/>
  <c r="D316" i="2" s="1"/>
  <c r="D317" i="2" s="1"/>
  <c r="D318" i="2" s="1"/>
  <c r="D320" i="2" s="1"/>
  <c r="D321" i="2" l="1"/>
  <c r="D325" i="2" s="1"/>
  <c r="D326" i="2" s="1"/>
  <c r="D327" i="2" s="1"/>
  <c r="D328" i="2" s="1"/>
  <c r="D330" i="2" s="1"/>
  <c r="D332" i="2" s="1"/>
  <c r="D333" i="2" s="1"/>
  <c r="D334" i="2" s="1"/>
  <c r="D335" i="2" s="1"/>
  <c r="D336" i="2" s="1"/>
  <c r="D339" i="2" s="1"/>
  <c r="D340" i="2" s="1"/>
  <c r="D341" i="2" s="1"/>
  <c r="D342" i="2" s="1"/>
  <c r="D343" i="2" s="1"/>
  <c r="D344" i="2" s="1"/>
  <c r="D345" i="2" s="1"/>
  <c r="D346" i="2" s="1"/>
  <c r="D347" i="2" s="1"/>
  <c r="D349" i="2" l="1"/>
  <c r="D350" i="2" s="1"/>
  <c r="D351" i="2" l="1"/>
  <c r="D352" i="2" l="1"/>
  <c r="D353" i="2" l="1"/>
  <c r="D354" i="2" l="1"/>
  <c r="D355" i="2" l="1"/>
  <c r="D356" i="2" l="1"/>
  <c r="D357" i="2" l="1"/>
  <c r="D358" i="2" s="1"/>
  <c r="D359" i="2" s="1"/>
  <c r="D360" i="2" s="1"/>
  <c r="D361" i="2" s="1"/>
  <c r="D362" i="2" s="1"/>
  <c r="D363" i="2" s="1"/>
  <c r="D365" i="2" s="1"/>
  <c r="D366" i="2" s="1"/>
  <c r="D367" i="2" s="1"/>
  <c r="D368" i="2" s="1"/>
  <c r="D369" i="2" s="1"/>
  <c r="D371" i="2" l="1"/>
  <c r="D372" i="2" s="1"/>
  <c r="D375" i="2" s="1"/>
  <c r="D376" i="2" l="1"/>
  <c r="D378" i="2" l="1"/>
  <c r="D379" i="2" s="1"/>
  <c r="D380" i="2" s="1"/>
  <c r="D381" i="2" s="1"/>
  <c r="D382" i="2" s="1"/>
  <c r="D383" i="2" s="1"/>
  <c r="D384" i="2" s="1"/>
  <c r="D385" i="2" s="1"/>
  <c r="D386" i="2" s="1"/>
  <c r="D387" i="2" s="1"/>
  <c r="D389" i="2" l="1"/>
  <c r="D391" i="2" l="1"/>
  <c r="D392" i="2" s="1"/>
  <c r="D393" i="2" s="1"/>
  <c r="D395" i="2" s="1"/>
  <c r="D396" i="2" s="1"/>
  <c r="D397" i="2" s="1"/>
  <c r="D401" i="2" l="1"/>
  <c r="D402" i="2" s="1"/>
  <c r="D404" i="2" s="1"/>
  <c r="D405" i="2" s="1"/>
  <c r="D406" i="2" s="1"/>
  <c r="D408" i="2" l="1"/>
  <c r="D409" i="2" s="1"/>
  <c r="D411" i="2" l="1"/>
  <c r="D412" i="2" s="1"/>
  <c r="D414" i="2" l="1"/>
  <c r="D415" i="2" l="1"/>
  <c r="D416" i="2" s="1"/>
  <c r="D417" i="2" s="1"/>
  <c r="D419" i="2" s="1"/>
  <c r="D420" i="2" s="1"/>
  <c r="D421" i="2" s="1"/>
  <c r="D422" i="2" s="1"/>
  <c r="D423" i="2" s="1"/>
  <c r="D424" i="2" s="1"/>
  <c r="D426" i="2" l="1"/>
  <c r="D427" i="2" s="1"/>
  <c r="D428" i="2" s="1"/>
  <c r="D429" i="2" s="1"/>
  <c r="D430" i="2" s="1"/>
  <c r="D432" i="2" l="1"/>
  <c r="D433" i="2" l="1"/>
  <c r="D434" i="2" s="1"/>
  <c r="D435" i="2" s="1"/>
  <c r="D436" i="2" s="1"/>
  <c r="D438" i="2" s="1"/>
  <c r="D439" i="2" l="1"/>
  <c r="D440" i="2" s="1"/>
  <c r="D441" i="2" s="1"/>
  <c r="D442" i="2" s="1"/>
  <c r="D444" i="2" s="1"/>
  <c r="D445" i="2" s="1"/>
  <c r="D446" i="2" s="1"/>
  <c r="D447" i="2" s="1"/>
  <c r="D448" i="2" s="1"/>
  <c r="D450" i="2" l="1"/>
  <c r="D451" i="2" s="1"/>
  <c r="D452" i="2" s="1"/>
  <c r="D453" i="2" s="1"/>
  <c r="D454" i="2" s="1"/>
  <c r="D455" i="2" s="1"/>
  <c r="D456" i="2" s="1"/>
  <c r="D457" i="2" s="1"/>
  <c r="D458" i="2" s="1"/>
  <c r="D459" i="2" s="1"/>
  <c r="D460" i="2" s="1"/>
  <c r="D462" i="2" l="1"/>
  <c r="D463" i="2" s="1"/>
  <c r="D464" i="2" l="1"/>
  <c r="D466" i="2" s="1"/>
  <c r="D467" i="2" s="1"/>
  <c r="D468" i="2" s="1"/>
  <c r="D469" i="2" l="1"/>
  <c r="D473" i="2" s="1"/>
  <c r="D474" i="2" s="1"/>
  <c r="D475" i="2" s="1"/>
  <c r="D476" i="2" s="1"/>
  <c r="D477" i="2" s="1"/>
  <c r="D478" i="2" l="1"/>
  <c r="D479" i="2" s="1"/>
  <c r="D481" i="2" s="1"/>
  <c r="D482" i="2" s="1"/>
  <c r="D483" i="2" s="1"/>
  <c r="D484" i="2" s="1"/>
  <c r="D485" i="2" s="1"/>
  <c r="D486" i="2" s="1"/>
  <c r="D487" i="2" s="1"/>
  <c r="D489" i="2" l="1"/>
  <c r="D490" i="2" s="1"/>
  <c r="D491" i="2" s="1"/>
  <c r="D492" i="2" s="1"/>
  <c r="D493" i="2" s="1"/>
  <c r="D495" i="2" s="1"/>
  <c r="D496" i="2" l="1"/>
  <c r="D497" i="2" s="1"/>
  <c r="D498" i="2" s="1"/>
  <c r="D499" i="2" l="1"/>
  <c r="D500" i="2" s="1"/>
  <c r="D501" i="2" s="1"/>
  <c r="D502" i="2" s="1"/>
  <c r="D506" i="2" l="1"/>
  <c r="D507" i="2" l="1"/>
  <c r="D508" i="2" l="1"/>
  <c r="D509" i="2" l="1"/>
  <c r="D510" i="2" l="1"/>
  <c r="D511" i="2" l="1"/>
  <c r="D512" i="2" l="1"/>
  <c r="D513" i="2" l="1"/>
  <c r="D514" i="2" l="1"/>
  <c r="D515" i="2" l="1"/>
  <c r="D516" i="2" s="1"/>
  <c r="D517" i="2" l="1"/>
  <c r="D518" i="2" l="1"/>
  <c r="D519" i="2" l="1"/>
  <c r="D520" i="2" s="1"/>
  <c r="D521" i="2" s="1"/>
  <c r="D522" i="2" s="1"/>
  <c r="D523" i="2" s="1"/>
  <c r="D524" i="2" s="1"/>
  <c r="D525" i="2" s="1"/>
  <c r="D529" i="2" l="1"/>
  <c r="D531" i="2" s="1"/>
  <c r="D532" i="2" s="1"/>
  <c r="D533" i="2" s="1"/>
  <c r="D534" i="2" s="1"/>
  <c r="D535" i="2" s="1"/>
  <c r="D537" i="2" l="1"/>
  <c r="D538" i="2" s="1"/>
  <c r="D541" i="2" l="1"/>
  <c r="D542" i="2" s="1"/>
  <c r="D544" i="2" s="1"/>
  <c r="D545" i="2" s="1"/>
  <c r="D546" i="2" s="1"/>
  <c r="D547" i="2" s="1"/>
  <c r="D548" i="2" s="1"/>
  <c r="D549" i="2" s="1"/>
  <c r="D550" i="2" s="1"/>
  <c r="D551" i="2" s="1"/>
  <c r="D553" i="2" l="1"/>
  <c r="D554" i="2" s="1"/>
  <c r="D556" i="2" l="1"/>
  <c r="D557" i="2" l="1"/>
  <c r="D558" i="2" l="1"/>
  <c r="D559" i="2" l="1"/>
  <c r="D560" i="2" l="1"/>
  <c r="D561" i="2" l="1"/>
  <c r="D562" i="2" l="1"/>
  <c r="D563" i="2" l="1"/>
  <c r="D564" i="2" l="1"/>
  <c r="D565" i="2" l="1"/>
  <c r="D566" i="2" s="1"/>
  <c r="D567" i="2" s="1"/>
  <c r="D568" i="2" s="1"/>
  <c r="D570" i="2" s="1"/>
  <c r="D571" i="2" l="1"/>
  <c r="D572" i="2" s="1"/>
  <c r="D573" i="2" l="1"/>
  <c r="D574" i="2" l="1"/>
  <c r="D575" i="2" l="1"/>
  <c r="D576" i="2" l="1"/>
  <c r="D579" i="2" s="1"/>
  <c r="D580" i="2" l="1"/>
  <c r="D581" i="2" s="1"/>
  <c r="D582" i="2" s="1"/>
  <c r="D583" i="2" s="1"/>
  <c r="D584" i="2" s="1"/>
  <c r="D585" i="2" s="1"/>
  <c r="D586" i="2" s="1"/>
  <c r="D587" i="2" s="1"/>
  <c r="D588" i="2" s="1"/>
  <c r="D589" i="2" s="1"/>
  <c r="D590" i="2" s="1"/>
  <c r="D591" i="2" s="1"/>
  <c r="D592" i="2" s="1"/>
  <c r="D593" i="2" s="1"/>
  <c r="D594" i="2" s="1"/>
  <c r="D595" i="2" s="1"/>
  <c r="D596" i="2" s="1"/>
  <c r="D597" i="2" s="1"/>
  <c r="D598" i="2" s="1"/>
  <c r="D599" i="2" s="1"/>
  <c r="D600" i="2" s="1"/>
  <c r="D601" i="2" s="1"/>
  <c r="D602" i="2" s="1"/>
  <c r="D603" i="2" s="1"/>
  <c r="D604" i="2" s="1"/>
  <c r="D605" i="2" s="1"/>
  <c r="D606" i="2" s="1"/>
  <c r="D607" i="2" s="1"/>
  <c r="D608" i="2" s="1"/>
  <c r="D609" i="2" s="1"/>
  <c r="D610" i="2" s="1"/>
  <c r="D611" i="2" s="1"/>
  <c r="D612" i="2" s="1"/>
  <c r="D613" i="2" s="1"/>
  <c r="D614" i="2" s="1"/>
  <c r="D615" i="2" s="1"/>
  <c r="D616" i="2" s="1"/>
  <c r="D617" i="2" s="1"/>
  <c r="D618" i="2" s="1"/>
  <c r="D619" i="2" s="1"/>
  <c r="D620" i="2" s="1"/>
  <c r="D621" i="2" s="1"/>
  <c r="D622" i="2" s="1"/>
  <c r="D623" i="2" s="1"/>
  <c r="D624" i="2" s="1"/>
  <c r="D625" i="2" s="1"/>
  <c r="D626" i="2" s="1"/>
  <c r="D627" i="2" s="1"/>
  <c r="D628" i="2" s="1"/>
  <c r="D629" i="2" s="1"/>
  <c r="D630" i="2" s="1"/>
  <c r="D631" i="2" s="1"/>
  <c r="D632" i="2" s="1"/>
  <c r="D633" i="2" s="1"/>
  <c r="D634" i="2" s="1"/>
  <c r="D635" i="2" s="1"/>
  <c r="D636" i="2" s="1"/>
  <c r="D637" i="2" s="1"/>
  <c r="D638" i="2" s="1"/>
  <c r="D639" i="2" s="1"/>
  <c r="D640" i="2" s="1"/>
  <c r="D641" i="2" s="1"/>
  <c r="D642" i="2" s="1"/>
  <c r="D643" i="2" s="1"/>
  <c r="D644" i="2" s="1"/>
  <c r="D645" i="2" s="1"/>
  <c r="D646" i="2" s="1"/>
  <c r="A2" i="2"/>
</calcChain>
</file>

<file path=xl/sharedStrings.xml><?xml version="1.0" encoding="utf-8"?>
<sst xmlns="http://schemas.openxmlformats.org/spreadsheetml/2006/main" count="10066" uniqueCount="2854">
  <si>
    <t xml:space="preserve">ID DESA   </t>
  </si>
  <si>
    <t>LEMBAR PERSETUJUAN</t>
  </si>
  <si>
    <t>Kami sangat mengharapkan partisipasi Bapak/Ibu dalam pengumpulan data ini. Jawaban yang lengkap dan jujur akan sangat membantu.
Informasi yang Bapak/Ibu berikan kami rahasiakan.</t>
  </si>
  <si>
    <r>
      <t xml:space="preserve">Mohon Bapak/Ibu </t>
    </r>
    <r>
      <rPr>
        <b/>
        <u/>
        <sz val="9"/>
        <color rgb="FF000000"/>
        <rFont val="Tahoma"/>
        <family val="2"/>
      </rPr>
      <t>menandatangani pernyataan</t>
    </r>
    <r>
      <rPr>
        <sz val="9"/>
        <color rgb="FF000000"/>
        <rFont val="Tahoma"/>
        <family val="2"/>
      </rPr>
      <t xml:space="preserve"> di bawah ini serta </t>
    </r>
    <r>
      <rPr>
        <b/>
        <u/>
        <sz val="9"/>
        <color rgb="FF000000"/>
        <rFont val="Tahoma"/>
        <family val="2"/>
      </rPr>
      <t>dibubuhkan cap Desa.</t>
    </r>
  </si>
  <si>
    <t>SEBELUM MENGISI KUESIONER INI, HARAP MEMBACA PANDUAN PENGISIAN KUESIONER TERLEBIH DAHULU SECARA SEKSAMA.</t>
  </si>
  <si>
    <t>Dengan ini saya bersedia mengikuti Pengukuran Informasi ini dan bersedia</t>
  </si>
  <si>
    <t>menjawab/mengisi lembar kuesioner yang telah disediakan dibawah ini.</t>
  </si>
  <si>
    <t>Kepala Desa,</t>
  </si>
  <si>
    <t>Demikian kami sampaikan.  Atas bantuan dan kerjasama Bapak/Ibu, saya ucapkan terima kasih.</t>
  </si>
  <si>
    <t>IP. Identitas Petugas</t>
  </si>
  <si>
    <t>IP1</t>
  </si>
  <si>
    <t>Nama Petugas</t>
  </si>
  <si>
    <t>IP2</t>
  </si>
  <si>
    <t>Tanggal Isi Kuesioner</t>
  </si>
  <si>
    <t>IP3</t>
  </si>
  <si>
    <t>Tanda Tangan Petugas</t>
  </si>
  <si>
    <t>INPUT</t>
  </si>
  <si>
    <t>IP. IDENTITAS PETUGAS</t>
  </si>
  <si>
    <t>ID Petugas (nomor KTP)</t>
  </si>
  <si>
    <t>Nama Informan</t>
  </si>
  <si>
    <t>Tanggal Lahir Informan</t>
  </si>
  <si>
    <t>Jenis Kelamin Informan</t>
  </si>
  <si>
    <t>No. Telepon Rumah / Hp Plt/Kepala Desa</t>
  </si>
  <si>
    <t>No. Telepon Kantor Desa</t>
  </si>
  <si>
    <t>Alamat Email Desa</t>
  </si>
  <si>
    <t>Akun Facebook Desa</t>
  </si>
  <si>
    <t>Akun Instagram Desa</t>
  </si>
  <si>
    <t>Alamat Web Desa</t>
  </si>
  <si>
    <t>Pendidikan Terakhir Plt/ Kepala Desa</t>
  </si>
  <si>
    <t>Lama Masa Jabatan sebagai Plt/ Kepala Desa</t>
  </si>
  <si>
    <t>Tahun dan Bulan</t>
  </si>
  <si>
    <t>Pendidikan Terakhir Plt/ Sekretaris Desa</t>
  </si>
  <si>
    <t>Lama Masa Jabatan sebagai Plt/ Sekretaris Desa</t>
  </si>
  <si>
    <t>Orang</t>
  </si>
  <si>
    <t>DATA GEOGRAFI</t>
  </si>
  <si>
    <t>LUAS WILAYAH</t>
  </si>
  <si>
    <t>Total Luas Wilayah Desa</t>
  </si>
  <si>
    <t>DATA TOPOGRAFI</t>
  </si>
  <si>
    <t>DATA DEMOGRAFI</t>
  </si>
  <si>
    <t>PENDUDUK</t>
  </si>
  <si>
    <t>Jumlah Total Penduduk</t>
  </si>
  <si>
    <t>a</t>
  </si>
  <si>
    <t>Jiwa</t>
  </si>
  <si>
    <t>Jumlah Penduduk Laki-laki</t>
  </si>
  <si>
    <t>Jumlah Penduduk Perempuan</t>
  </si>
  <si>
    <t>Kepala Keluarga</t>
  </si>
  <si>
    <t>KK</t>
  </si>
  <si>
    <t>Jumlah Total Kepala Keluarga Perempuan</t>
  </si>
  <si>
    <t>Jumlah Penduduk Berdasarkan Struktur Usia</t>
  </si>
  <si>
    <t>Jumlah Penduduk Berdasarkan Pekerjaan</t>
  </si>
  <si>
    <t>Ketersediaan Sarana Kesehatan</t>
  </si>
  <si>
    <t>Meter</t>
  </si>
  <si>
    <t>Rumah Sakit</t>
  </si>
  <si>
    <t>Rumah Sakit Bersalin</t>
  </si>
  <si>
    <t>Puskesmas Rawat inap</t>
  </si>
  <si>
    <t>Puskesmas Tanpa Rawat Inap</t>
  </si>
  <si>
    <t>Puskesmas Pembantu</t>
  </si>
  <si>
    <t>Rumah Bersalin</t>
  </si>
  <si>
    <t>Poliklinik/Balai Pengobatan</t>
  </si>
  <si>
    <t>Tempat Praktek Dokter</t>
  </si>
  <si>
    <t>Tempat Praktek Bidan</t>
  </si>
  <si>
    <t>Apotik</t>
  </si>
  <si>
    <t>Unit</t>
  </si>
  <si>
    <t>Kasus</t>
  </si>
  <si>
    <t>Anak</t>
  </si>
  <si>
    <t>Data Tingkat Pendidikan</t>
  </si>
  <si>
    <t>Tingkat pendidikan sebagian besar penduduk Desa</t>
  </si>
  <si>
    <t>Akses Ke Pendidikan Non-Formal Usia 3-5 tahun</t>
  </si>
  <si>
    <t>Ketersediaan Pusat Kegiatan Belajar Masyarakat Kejar Paket A, B, dan C di Desa</t>
  </si>
  <si>
    <t>Terdapat Kegiatan Pemberatasan Buta Aksara</t>
  </si>
  <si>
    <t>Kali/ Tahun</t>
  </si>
  <si>
    <t>Kelompok</t>
  </si>
  <si>
    <t>Warga Desa terdiri dari beberapa suku / etnis</t>
  </si>
  <si>
    <t>Jumlah Bahasa yang digunakan Warga Desa untuk Komunikasi Sehari-hari di Desa</t>
  </si>
  <si>
    <t>Agama  / kepercayaan mayoritas yang dianut warga Desa</t>
  </si>
  <si>
    <t>Keamanan Warga</t>
  </si>
  <si>
    <t>Terdapat kegiatan pembangunan dan pemeliharaan pos keamanan lingkungan (Poskamling) oleh warga</t>
  </si>
  <si>
    <t>Inisiatif dan partisipasi warga dalam pengaktifan sistem keamanan lingkungan (Siskamling)</t>
  </si>
  <si>
    <t>Penyelesaian konflik di Desa oleh lembaga lokal sesuai adat budaya tertentu di Desa</t>
  </si>
  <si>
    <t>Kesejahteraan Sosial</t>
  </si>
  <si>
    <t>Jumlah kejadian bunuh diri di Desa</t>
  </si>
  <si>
    <t>Rp</t>
  </si>
  <si>
    <t>Akses Air Bersih dan Air Minum</t>
  </si>
  <si>
    <t>Cara warga Desa memperoleh air minum</t>
  </si>
  <si>
    <t>Warga Desa membuang sampah</t>
  </si>
  <si>
    <t>Akses Listrik</t>
  </si>
  <si>
    <t>Tersedia Tower BTS di Desa</t>
  </si>
  <si>
    <t>Jarak Tower Provider terdekat di Desa</t>
  </si>
  <si>
    <t xml:space="preserve">Sumber penghasilan utama penduduk Desa </t>
  </si>
  <si>
    <t>Sarana dan Prasarana Ekonomi di Desa</t>
  </si>
  <si>
    <t>Jumlah pasar dengan bangunan permanen</t>
  </si>
  <si>
    <t>Jumlah pasar dengan bangunan semi permanen</t>
  </si>
  <si>
    <t>Jumlah toko / warung kelontong di Desa</t>
  </si>
  <si>
    <t>Mayoritas Bahan Bakar Memasak untuk kebutuhan keluarga</t>
  </si>
  <si>
    <t>Akses Lembaga Keuangan</t>
  </si>
  <si>
    <t>Jumlah Koperasi di Desa yang aktif beroperasi</t>
  </si>
  <si>
    <t>Tahun</t>
  </si>
  <si>
    <t>Jalan di Desa Dapat Dilalui Kendaraan Bermotor Roda Empat</t>
  </si>
  <si>
    <t>Jenis Permukaan Jalan di Desa yang Terluas</t>
  </si>
  <si>
    <t>Ketersediaan Sumber Air di Desa</t>
  </si>
  <si>
    <t>Dampak pencemaran lingkungan</t>
  </si>
  <si>
    <t>Terdapat sungai yang terkena pembuangan limbah</t>
  </si>
  <si>
    <t>Terdapat perencanaan tata ruang Desa</t>
  </si>
  <si>
    <t>Terdapat perubahan penggunaan lahan dari sektor pertanian menjadi non-pertanian</t>
  </si>
  <si>
    <t>Potensi Bencana</t>
  </si>
  <si>
    <t>Ketersediaan kebun gizi di Desa yang dimanfaatkan Masyarakat</t>
  </si>
  <si>
    <t>Sumber pangan yang paling sering dikonsumsi masyarakat Desa</t>
  </si>
  <si>
    <t>Pendampingan Masyarakat Desa dari Pihak Luar</t>
  </si>
  <si>
    <t xml:space="preserve">Apakah ada pelaksanaan pendampingan masyarakat di luar dari Pendamping Lokal Desa (PLD). Misalnya Pendamping dari lintas sektor (swasta, BUMN atau Perguruan Tinggi/Swasta)? </t>
  </si>
  <si>
    <t>Terdapat Pendampingan Masyarakat dari Luar PLD</t>
  </si>
  <si>
    <t>Pendampingan Masyarakat dari Luar PLD Lainnya (Sebutkan)</t>
  </si>
  <si>
    <t>Bagaimana layanan dari pendampingan luar tersebut?</t>
  </si>
  <si>
    <t>Berapa banyak institusi yang melakukan pendampingan dalam setahun di desa?</t>
  </si>
  <si>
    <t>Lama durasi layanan pendampingan dari pihak luar</t>
  </si>
  <si>
    <t>Bulan</t>
  </si>
  <si>
    <t>Dampak pendampingan terhadap kehidupan sosial ekonomi dan budaya masyarakat?</t>
  </si>
  <si>
    <t>Di bidang apa saja dampak pendampingan yang diterima masyarakat?</t>
  </si>
  <si>
    <t>Apakah Pendamping Lokal Desa dilibatkan dalam pendampingan tersebut?</t>
  </si>
  <si>
    <t>Apakah ada tindak lanjut dari pemerintah desa dari pendampingan tersebut?</t>
  </si>
  <si>
    <t>Kerjasama Desa</t>
  </si>
  <si>
    <t>Kerjasama Desa Antar Desa dalam Satu Kecamatan</t>
  </si>
  <si>
    <t>%</t>
  </si>
  <si>
    <t>Kerjasama Desa Antar Desa Diluar Kecamatan</t>
  </si>
  <si>
    <t>Kerjasama Desa/ BUMDes Dengan Pihak Ketiga</t>
  </si>
  <si>
    <t>Nama Institusi yang Bekerja Sama</t>
  </si>
  <si>
    <t>Terdapat Perjanjian Kerjasama</t>
  </si>
  <si>
    <t>Nomor Perjanjian Kerjasama</t>
  </si>
  <si>
    <t>Judul Perjanjian Kerjasama</t>
  </si>
  <si>
    <t>Tanggal Perjanjian Kerjasama</t>
  </si>
  <si>
    <t>Priode Kerjasama</t>
  </si>
  <si>
    <t>Persentase Bagi Hasil Desa/Bumdes dengan Pihak Ketiga Pertahun</t>
  </si>
  <si>
    <t>Kerjasama Antar Desa Eks PNPM</t>
  </si>
  <si>
    <t>Jarak Kantor Desa Ke kantor Camat</t>
  </si>
  <si>
    <t>Waktu Tempuh dari Kantor Desa Ke Kantor Camat</t>
  </si>
  <si>
    <t>Total Biaya Transportasi Dari Kantor Desa Ke Kantor Camat</t>
  </si>
  <si>
    <t>Jarak Kantor Desa Ke kantor Bupati/Walikota</t>
  </si>
  <si>
    <t>Waktu Tempuh Kantor Desa Ke Kantor Bupati/Walikota</t>
  </si>
  <si>
    <t>Total Biaya Transportasi Dari Kantor Desa Ke Kantor Bupati/Walikota</t>
  </si>
  <si>
    <t>Rupiah</t>
  </si>
  <si>
    <t>b</t>
  </si>
  <si>
    <t>Skor Aktivitas Posyandu</t>
  </si>
  <si>
    <t>Skor Akses Listrik</t>
  </si>
  <si>
    <t>Skor Air Minum</t>
  </si>
  <si>
    <t>Skor Pertokoan</t>
  </si>
  <si>
    <t>Skor Lembaga Ekonomi</t>
  </si>
  <si>
    <t>Kawasan Tambang</t>
  </si>
  <si>
    <t>max 500</t>
  </si>
  <si>
    <t>max 50</t>
  </si>
  <si>
    <t>max 10</t>
  </si>
  <si>
    <t>Ketersediaan Layanan Tenaga Kesehatan Dokter</t>
  </si>
  <si>
    <t>Ketersediaan Layanan Tenaga Kesehatan Lainnya</t>
  </si>
  <si>
    <t>max total penduduk</t>
  </si>
  <si>
    <t>Pendidikan Kebutuhan Khsuus</t>
  </si>
  <si>
    <t>max 5</t>
  </si>
  <si>
    <t>max 30</t>
  </si>
  <si>
    <t>Jenis Tambang berdasarkan Manfaat/Kegunaan</t>
  </si>
  <si>
    <t>Kawasan Perkebunan</t>
  </si>
  <si>
    <t>Kawasan Pesisir Pantai</t>
  </si>
  <si>
    <t>Km</t>
  </si>
  <si>
    <t>max 100</t>
  </si>
  <si>
    <t>Ha</t>
  </si>
  <si>
    <t>Tanaman Pangan Holtikultura</t>
  </si>
  <si>
    <t>Buah-buahan</t>
  </si>
  <si>
    <t>Terdapat Layanan BPR di Desa</t>
  </si>
  <si>
    <t>Lampiran Daftar Pengurus BUMDESA</t>
  </si>
  <si>
    <t>Lampiran Daftar Pengurus BUMDESA Bersama</t>
  </si>
  <si>
    <t>Ton</t>
  </si>
  <si>
    <t>Swasta</t>
  </si>
  <si>
    <t>Jarak Kantor Desa Ke kantor Gubernur</t>
  </si>
  <si>
    <t>Waktu Tempuh Kantor Desa Ke Kantor Gubernur</t>
  </si>
  <si>
    <t>Total Biaya Transportasi Dari Kantor Desa Ke Kantor Gubernur</t>
  </si>
  <si>
    <t>Pilihan</t>
  </si>
  <si>
    <t>angka</t>
  </si>
  <si>
    <t>SATUAN/ KET</t>
  </si>
  <si>
    <t>Isian</t>
  </si>
  <si>
    <t>Titik Koordinat Desa Sesuai Koordinat pada Aplikasi Timestamp</t>
  </si>
  <si>
    <t>KEPALA SEKSI</t>
  </si>
  <si>
    <t>KEPALA URUSAN</t>
  </si>
  <si>
    <t>Terdapat Kawasan Hutan</t>
  </si>
  <si>
    <t>Kawasan Hutan</t>
  </si>
  <si>
    <t>JENIS POTENSI WILAYAH DESA</t>
  </si>
  <si>
    <t>Plihan</t>
  </si>
  <si>
    <t>Terdapat Kawasan Tambang di Desa</t>
  </si>
  <si>
    <t>Jenis Tambang GOLONGAN  A</t>
  </si>
  <si>
    <t>Jenis Tambang GOLONGAN  C</t>
  </si>
  <si>
    <t>Jenis Tambang GOLONGAN  B</t>
  </si>
  <si>
    <t>IP4</t>
  </si>
  <si>
    <t>IP5</t>
  </si>
  <si>
    <t>Ton Per Tahun</t>
  </si>
  <si>
    <t>Jumlah Total Kepala Keluarga di desa</t>
  </si>
  <si>
    <t>max 300rb</t>
  </si>
  <si>
    <t>max 20</t>
  </si>
  <si>
    <t>max 250rb</t>
  </si>
  <si>
    <t>max180</t>
  </si>
  <si>
    <t>max 360</t>
  </si>
  <si>
    <t>max 480</t>
  </si>
  <si>
    <t>max 120</t>
  </si>
  <si>
    <t>max 25rb</t>
  </si>
  <si>
    <t>(Jlh KK memiliki rumah + tidak memiliki rumah)&lt;= Total KK</t>
  </si>
  <si>
    <t>&lt;= KK memiliki Rumah</t>
  </si>
  <si>
    <t>Koordinat/ Isian</t>
  </si>
  <si>
    <t>Produk Unggulan Tanaman Pangan</t>
  </si>
  <si>
    <t>Komoditas yang telah Masuk Pasar Modern (Domestik)</t>
  </si>
  <si>
    <t>Komoditas yang telah Masuk Pasar Modern (Ekspor)</t>
  </si>
  <si>
    <t>Tanaman Obat</t>
  </si>
  <si>
    <t>Tanaman Sayuran</t>
  </si>
  <si>
    <t>Pasar Ekspor Tanaman Sayuran</t>
  </si>
  <si>
    <t>Pasar Ekspor Tanaman Buah</t>
  </si>
  <si>
    <t>Pasar Ekspor Tanaman Pangan</t>
  </si>
  <si>
    <t>Pasar Domestik Tanaman Obat</t>
  </si>
  <si>
    <t>Pasar Domestik Tanaman Sayur</t>
  </si>
  <si>
    <t>Pasar Domestik Tanaman Buah</t>
  </si>
  <si>
    <t>Pasar Domestik Tanaman Pangan</t>
  </si>
  <si>
    <t>Max 100</t>
  </si>
  <si>
    <t>Industri Kecil dan Menengah</t>
  </si>
  <si>
    <t>max 150rb</t>
  </si>
  <si>
    <t>max 240</t>
  </si>
  <si>
    <t>Max 250rb</t>
  </si>
  <si>
    <t>Gudang Pangan di desa</t>
  </si>
  <si>
    <t>Transportasi dari Kantor Desa Menuju Kantor Kecamatan</t>
  </si>
  <si>
    <t>Transportasi dari Kantor Desa Menuju Kantor Bupati</t>
  </si>
  <si>
    <t>Transportasi dari Kantor Desa Menuju Kantor Gubernur</t>
  </si>
  <si>
    <t>Penyedia Peningkatan Kapasitas Teknis Desa (P2KTD)</t>
  </si>
  <si>
    <t>Desa di fasilitasi pihak ke 3 dalam proses pembangunan dan pemberdayaan masyarakat desa
(Tenaga Profesional seperti: Lembaga, Asosiasi, Perusahaan, Perorangan dst)</t>
  </si>
  <si>
    <t>Dampak pendampingan yang diterima masyarakat di bidang lainnya (sebutkan)</t>
  </si>
  <si>
    <t>Jumlah Gagasan atau usulan peserta perempuan dalam musyawarah perencanaan pembangunan Desa MUSDES</t>
  </si>
  <si>
    <t>Jumlah anggota Tim  Perumusan RPJMDes yang Aktif</t>
  </si>
  <si>
    <t>Jumlah anggota KPMD(Kader Pembangunan Masyarakat Desa) Kader Posyandu/ Kader Kesehatan yang Aktif</t>
  </si>
  <si>
    <t>Jumlah Bidang Usaha Bumdesa</t>
  </si>
  <si>
    <t>Gagasan/ Usulan</t>
  </si>
  <si>
    <t>Potensi Wisata Desa</t>
  </si>
  <si>
    <t>Wisata Alam</t>
  </si>
  <si>
    <t>Wisata Buatan</t>
  </si>
  <si>
    <t>Wisata Budaya</t>
  </si>
  <si>
    <t>Desa Model</t>
  </si>
  <si>
    <t>Jabatan (PD/PLD/Perangkat Desa)</t>
  </si>
  <si>
    <t>PERANGKAT DESA</t>
  </si>
  <si>
    <t>Nomor Telepon Genggam/ Hp Informan</t>
  </si>
  <si>
    <t>Total Rata-rata Sekolah SD-SMP-SMU/Sederajat</t>
  </si>
  <si>
    <t>SKOR</t>
  </si>
  <si>
    <t>-</t>
  </si>
  <si>
    <t>Total APBDES Tahun 2024</t>
  </si>
  <si>
    <t>Sekretaris</t>
  </si>
  <si>
    <t>Kepala Urusan</t>
  </si>
  <si>
    <t>Kepala Seksi</t>
  </si>
  <si>
    <t>Kepala Dusun/ Kepala Pelaksana Kewilayahan</t>
  </si>
  <si>
    <t>Keberadaan Wilayah Desa yang Berbatasan dengan laut</t>
  </si>
  <si>
    <t>Jumlah pengangguran terbuka di desa</t>
  </si>
  <si>
    <t>LAYANAN DASAR</t>
  </si>
  <si>
    <t>SUB-DIMENSI PENDIDIKAN</t>
  </si>
  <si>
    <t>by system</t>
  </si>
  <si>
    <t>c</t>
  </si>
  <si>
    <t>e</t>
  </si>
  <si>
    <t>f</t>
  </si>
  <si>
    <t>g</t>
  </si>
  <si>
    <t>d</t>
  </si>
  <si>
    <t>h</t>
  </si>
  <si>
    <t>i</t>
  </si>
  <si>
    <t>orang</t>
  </si>
  <si>
    <t>j</t>
  </si>
  <si>
    <t>k</t>
  </si>
  <si>
    <t>by sistem</t>
  </si>
  <si>
    <t>Penyedia dukungan layanan SMA/SMK/MA/MAK/Sederajat di Desa</t>
  </si>
  <si>
    <t>Tidak Ada</t>
  </si>
  <si>
    <t>PERTANYAAN TAMBAHAN</t>
  </si>
  <si>
    <t xml:space="preserve">Rata-rata Lama Sekolah (RLS) penduduk umur ≥15 tahun </t>
  </si>
  <si>
    <t>Apakah Pemerintah Daerah menyediakan dukungan beasiswa bagi siswa yang kurang mampu?</t>
  </si>
  <si>
    <t>Apakah ada anak berkebutuhan khusus yang berada di desa dan dapat mengakses Program Pendidikan PAUD/SD/SMP/SMA/SMK/Pendidikan Kesetaraan?</t>
  </si>
  <si>
    <t>SUB-DIMENSI KESEHATAN</t>
  </si>
  <si>
    <t>Layanan Sarana Kesehatan</t>
  </si>
  <si>
    <t>Jumlah fasilitas kesehatan yang ada di desa</t>
  </si>
  <si>
    <t>max 180</t>
  </si>
  <si>
    <t>Apakah terdapat Penyedia Transportasi penunjang menuju Sarana Kesehatan Terdekat</t>
  </si>
  <si>
    <t>Kemudahan akses menuju Sarana Kesehatan</t>
  </si>
  <si>
    <t>Fasilitas Kesehatan Poskesdes/Polindes</t>
  </si>
  <si>
    <t>Aktivitas Posyandu</t>
  </si>
  <si>
    <t>Ketersediaan Fasilitas Posyandu di Desa</t>
  </si>
  <si>
    <t>Terdapat Aktivitas Posyandu</t>
  </si>
  <si>
    <t>Kemudahan akses menuju Fasilitas Posyandu</t>
  </si>
  <si>
    <t>Layanan Dokter</t>
  </si>
  <si>
    <t xml:space="preserve">Melalui sarana kesehatan apa dokter tersebut memberikan layanan di desa? </t>
  </si>
  <si>
    <t>Jumlah fasilitas praktik dokter di desa</t>
  </si>
  <si>
    <t>Berapa lama/hari ketersediaan layanan dokter di desa?</t>
  </si>
  <si>
    <t>Penyedia layanan dokter di desa berasal dari?</t>
  </si>
  <si>
    <t>Jika Terdapat Penyedia Sarana Akomodasi/Transportasi penunjang pelayanan dokter oleh Pemerintah Desa/ Masyarakat, Apa Jenis Transportasi penunjang tersebut?</t>
  </si>
  <si>
    <t>Ada</t>
  </si>
  <si>
    <t>Layanan Bidan</t>
  </si>
  <si>
    <t>Jumlah fasilitas praktik bidan di desa</t>
  </si>
  <si>
    <t>Berapa lama/hari ketersediaan layanan Bidan di desa?</t>
  </si>
  <si>
    <t>Penyedia layanan Bidan di desa berasal dari?</t>
  </si>
  <si>
    <t>Terdapat Penyedia Transportasi penunjang menuju layanan Bidan</t>
  </si>
  <si>
    <t>Jika Terdapat Penyedia Sarana Akomodasi/Transportasi penunjang pelayanan Bidan oleh Pemerintah Desa/ Masyarakat, Apa Jenis Transportasi penunjang tersebut?</t>
  </si>
  <si>
    <t>Layanan Tenaga Kesehatan Lainnya</t>
  </si>
  <si>
    <t>Jumlah fasilitas praktik tenaga kesehatan lainnya di desa</t>
  </si>
  <si>
    <t>Berapa lama/hari ketersediaan layanan Tenaga Kesehatan di desa?</t>
  </si>
  <si>
    <t>Penyedia layanan Tenaga Kesehatan di desa berasal dari?</t>
  </si>
  <si>
    <t>Terdapat Penyedia Transportasi penunjang menuju layanan Nakes</t>
  </si>
  <si>
    <t>Jaminan Kesehatan Nasional</t>
  </si>
  <si>
    <t>Persentase keanggotaan BPJS</t>
  </si>
  <si>
    <t>Apakah terdapat kegiatan sosialisasi dan/atau advokasi terkait program jaminan kesehatan nasional di desa?</t>
  </si>
  <si>
    <t>1.C</t>
  </si>
  <si>
    <t>Sub-Dimensi Utilitas Dasar</t>
  </si>
  <si>
    <t>Sistem Pembuangan Air Limbah Domestik (Rumah Tangga)</t>
  </si>
  <si>
    <t>Ketersediaan sebagian besar Jamban rumah tangga di Desa</t>
  </si>
  <si>
    <t>Jumlah rumah yang memiliki jamban individu di Desa</t>
  </si>
  <si>
    <t>Ketersediaan sebagian besar Septic Tank rumah tangga di Desa</t>
  </si>
  <si>
    <t>Pembuangan Air Limbah Cair Rumah Tangga</t>
  </si>
  <si>
    <t>Air Minum</t>
  </si>
  <si>
    <t>Hari operasional penyediaan Air Minum di Desa dalam kurun waktu satu minggu</t>
  </si>
  <si>
    <t>Jumlah rumah yang sudah terakses air minum di desa</t>
  </si>
  <si>
    <t>Ketersediaan Air Minum untuk warga desa</t>
  </si>
  <si>
    <t>Kemudahan akses Air Minum untuk warga di desa</t>
  </si>
  <si>
    <t>Kendala untuk mengakses Air Minum untuk warga di desa</t>
  </si>
  <si>
    <t>Bagaimana Kualitas Air Minum di Desa (Tidak untuk Berbau, Berwarna, &amp; Berasa)</t>
  </si>
  <si>
    <t>Jumlah rumah yang sudah terakses listrik di desa</t>
  </si>
  <si>
    <t>Ketersediaan pelayanan listrik untuk rumah di desa?</t>
  </si>
  <si>
    <t>Berapa Lama Durasi layanan Listrik di Desa?</t>
  </si>
  <si>
    <t>Layanan Telekomunikasi</t>
  </si>
  <si>
    <t>Ketersediaan Akses Telepon di sebagian besar wilayah Desa</t>
  </si>
  <si>
    <t>Ketersediaan Akses Internet di sebagian besar wilayah Desa</t>
  </si>
  <si>
    <t>Persentase Rumah Tidak Layak Huni</t>
  </si>
  <si>
    <t>Berapa jumlah Rumah Tidak Layak Huni di Desa?</t>
  </si>
  <si>
    <t>SOSIAL</t>
  </si>
  <si>
    <t>2.A</t>
  </si>
  <si>
    <t>SUB-DIMENSI AKTIVITAS</t>
  </si>
  <si>
    <t>Kearifan Sosial/Budaya</t>
  </si>
  <si>
    <t>Apakah terdapat kearifan budaya/sosial yang ada/menjadi ciri khas desa?</t>
  </si>
  <si>
    <t>Apa saja  kearifan budaya/sosial yang ada/menjadi ciri khas desa?</t>
  </si>
  <si>
    <t>Apakah kearifan budaya/sosial tersebut masih dipertahankan/dilestarikan?</t>
  </si>
  <si>
    <t>Apa saja  kearifan budaya/sosial yang dipertahankan/dilestarikan tersebut?</t>
  </si>
  <si>
    <t>Frekuensi Gotong Royong</t>
  </si>
  <si>
    <t>Apakah terdapat kegiatan gotong royong di Desa?</t>
  </si>
  <si>
    <t>Frekuensi Kegiatan Gotong Royong di desa</t>
  </si>
  <si>
    <t>Jenis gotong royong di Desa:</t>
  </si>
  <si>
    <t>Keterlibatan warga dalam kegiatan gotong royong</t>
  </si>
  <si>
    <t>Kegiatan Olahraga</t>
  </si>
  <si>
    <t>Terdapat pelaksanaan kegiatan olahraga di desa dalam satu bulan</t>
  </si>
  <si>
    <t>Frekuensi kegiatan tersebut dilakukan dalam satu bulan</t>
  </si>
  <si>
    <t>Mitigasi dan Penanganan Konflik Sosial</t>
  </si>
  <si>
    <t>Upaya/mitigasi penanganan konflik di Desa seperti berikut:</t>
  </si>
  <si>
    <t>Satkamling</t>
  </si>
  <si>
    <t>Apakah terdapat Satuan Keamanan Lingkungan (Satkamling) di Desa</t>
  </si>
  <si>
    <t>Apakah terdapat aktivitas Satuan Keamanan Lingkungan (Satkamling) di Desa</t>
  </si>
  <si>
    <t>2.B</t>
  </si>
  <si>
    <t>SUB-DIMENSI FASILITAS MASYARAKAT</t>
  </si>
  <si>
    <t>Taman Bacaan Masyarakat/ Perpustakaan Desa</t>
  </si>
  <si>
    <t>Hari operasional Taman Bacaan Masyarakat/ Perpustakaan Desa</t>
  </si>
  <si>
    <t>Fasilitas Olahraga</t>
  </si>
  <si>
    <t>Ketersediaan Fasilitas dan kondisi/keadaan sebagian besar Fasilitas olahraga di Desa</t>
  </si>
  <si>
    <t>Keberadaan Ruang Publik Terbuka</t>
  </si>
  <si>
    <t>Keberadaan ruang publik terbuka/keadaan sebagian besar Fasilitas Ruang Publik Terbuka di Desa</t>
  </si>
  <si>
    <t>Jika terdapat Fasilitas RTH (Ruang terbuka Hijau) , apa jenis fasilitas yang terdapat di Desa?</t>
  </si>
  <si>
    <t>Jika terdapat Fasilitas RTNH (Ruang terbuka Non Hijau) , apa jenis fasilitas yang terdapat di Desa?</t>
  </si>
  <si>
    <t>EKONOMI</t>
  </si>
  <si>
    <t>3.A</t>
  </si>
  <si>
    <t>SUB-DIMENSI PRODUKSI DESA</t>
  </si>
  <si>
    <t>Keragaman Aktivitas Ekonomi</t>
  </si>
  <si>
    <t>Keragaman Aktivitas Ekonomi di Desa</t>
  </si>
  <si>
    <t>Produk Unggulan Desa</t>
  </si>
  <si>
    <t>Ketersediaan Produk Unggulan Desa</t>
  </si>
  <si>
    <t>Cakupan pasar Produk Unggulan Desa</t>
  </si>
  <si>
    <t>Ketersediaan merek dagang</t>
  </si>
  <si>
    <t>Ekonomi Kreatif</t>
  </si>
  <si>
    <t>Terdapat Kearifan lokal atau kebudayaan lokal yang di jadikan sebagai kegiatan ekonomi dalam menunjang penghidupan masyarakat di desa?</t>
  </si>
  <si>
    <t>Apakah telah dilakukan kerjasama desa dengan desa lainnya?</t>
  </si>
  <si>
    <t>Apakah telah dilakukan kerjasama desa dengan pihak ketiga?</t>
  </si>
  <si>
    <t>3.B</t>
  </si>
  <si>
    <t>SUB-DIMENSI FASILTAS PENDUKUNG EKONOMI</t>
  </si>
  <si>
    <t>Akses Terhadap Pendidikan Non-formal/Pusat Keterampilan/Kursus</t>
  </si>
  <si>
    <t>Ketersediaan Pendidikan Non-formal/Pusat Keterampilan/Kursus</t>
  </si>
  <si>
    <t>Keterlibatan Pendidikan Non-formal/Pusat Keterampilan/Kursus</t>
  </si>
  <si>
    <t>Penyedia layanan Pendidikan Non-formal/Pusat Keterampilan/Kursus</t>
  </si>
  <si>
    <t>Pasar Rakyat</t>
  </si>
  <si>
    <t>Ketersediaan Pasar di Desa</t>
  </si>
  <si>
    <t xml:space="preserve">Jenis pasar yang tersedia di Desa </t>
  </si>
  <si>
    <t>Max 180</t>
  </si>
  <si>
    <t>Toko/Pertokoan</t>
  </si>
  <si>
    <t>Waktu tempuh menuju toko/pertokoan di Desa</t>
  </si>
  <si>
    <t>Ketersediaan sarana transportasi menuju toko/pertokoan di Desa</t>
  </si>
  <si>
    <t>Kemudahan akses menuju toko/pertokoan di Desa</t>
  </si>
  <si>
    <t>Kedai/Rumah Makan</t>
  </si>
  <si>
    <t>Waktu tempuh menuju Kedai/Rumah Makan di Desa</t>
  </si>
  <si>
    <t>Jarak menuju Kedai/Rumah Makan di Desa</t>
  </si>
  <si>
    <t>Ketersediaan sarana transportasi menuju Kedai/Rumah Makan di Desa</t>
  </si>
  <si>
    <t>Kemudahan akses menuju Kedai/Rumah Makan di Desa</t>
  </si>
  <si>
    <t>Penginapan</t>
  </si>
  <si>
    <t>Ketersediaan sarana transportasi menuju Penginapan di Desa</t>
  </si>
  <si>
    <t>Kemudahan akses menuju Penginapan di Desa</t>
  </si>
  <si>
    <t>Lembaga Ekonomi</t>
  </si>
  <si>
    <t>isian</t>
  </si>
  <si>
    <t>Layanan Keuangan</t>
  </si>
  <si>
    <t>Ketersediaan layanan perbankan di desa</t>
  </si>
  <si>
    <t xml:space="preserve">Status  Layanan Fasilitas Kredit </t>
  </si>
  <si>
    <t>LINGKUNGAN</t>
  </si>
  <si>
    <t>4.A</t>
  </si>
  <si>
    <t>SUB-DIMENSI PENGELOLAAN LINGKUNGAN</t>
  </si>
  <si>
    <t>Kearifan Lingkungan</t>
  </si>
  <si>
    <t>Apakah terdapat atraksi alam/sumberdaya alam/keindahan alam di desa?</t>
  </si>
  <si>
    <t>Apakah terdapat upaya menjaga/mempertahankan/melestarikan kearifan lingkungan berupa atraksi alam/sumberdaya alam/keindahan alam yang ada di desa</t>
  </si>
  <si>
    <t>Apa saja upaya menjaga/mempertahankan/melestarikan kearifan lingkungan berupa atraksi alam/sumberdaya alam/keindahan alam yang ada di desa</t>
  </si>
  <si>
    <t>Apakah terdapat peraturan/regulasi yang mengatur terkait pelestarian lingkungan di Desa?</t>
  </si>
  <si>
    <t>Apakah terdapat kegiatan pelestarian lingkungan berbasis kearifan lokal di bidang lingkungan di Desa (seperti Awik-awik)?</t>
  </si>
  <si>
    <t>Peruntukan pemanfaatan Energi terbarukan yang ada di Desa</t>
  </si>
  <si>
    <t>Sistem Pengelolaan Sampah</t>
  </si>
  <si>
    <t>Tempat pembuangan sampah di Desa</t>
  </si>
  <si>
    <t>Dilakukan pengolahan sampah di desa</t>
  </si>
  <si>
    <t>Jika sampah diolah, apa jenis pengolahan tersebut?</t>
  </si>
  <si>
    <t>Dilakukan pemanfaatan sampah di desa</t>
  </si>
  <si>
    <t>Jika sampah dimanfaatkan, apa jenis pemanfaatan tersebut?</t>
  </si>
  <si>
    <t>Tingkat Pencemaran Lingkungan</t>
  </si>
  <si>
    <t>Terdapat  pencemaran air di Desa dalam setahun terakhir</t>
  </si>
  <si>
    <t>Terdapat pencemaran tanah di Desa dalam setahun terakhir</t>
  </si>
  <si>
    <t>Terdapat pencemaran udara di Desa dalam setahun terakhir</t>
  </si>
  <si>
    <t>Total Kejadian pencemaran lingkungan</t>
  </si>
  <si>
    <t>Rata-rata kejadian pencemaran lingkungan</t>
  </si>
  <si>
    <t>4.B</t>
  </si>
  <si>
    <t>SUB-DIMENSI PENANGGULANGAN BENCANA</t>
  </si>
  <si>
    <t>Penanggulangan Bencana</t>
  </si>
  <si>
    <t>Ketersediaan aspek informasi kebencanaan</t>
  </si>
  <si>
    <t xml:space="preserve">Ketersediaan Fasilitas Mitigasi Bencana </t>
  </si>
  <si>
    <t>Waktu tempuh menuju fasilitas mitigasi bencana</t>
  </si>
  <si>
    <t>Jarak menuju fasilitas mitigasi bencana</t>
  </si>
  <si>
    <t>Ketersediaan sarana transportasi menuju fasilitas mitigasi bencana</t>
  </si>
  <si>
    <t>Kemudahan akses menuju fasilitas mitigasi bencana</t>
  </si>
  <si>
    <t>Terdapat aktivitas Mitigasi dan atau Rehabilitasi bencana di Desa</t>
  </si>
  <si>
    <t>Ketersediaan fasilitas aspek tanggap darurat bencana</t>
  </si>
  <si>
    <t>AKSESIBILITAS</t>
  </si>
  <si>
    <t>5.A</t>
  </si>
  <si>
    <t>SUB-DIMENSI KONDISI AKSES JALAN</t>
  </si>
  <si>
    <t>Kondisi Jalan di desa</t>
  </si>
  <si>
    <t>Jenis Permukaan Jalan sebagian besar di desa</t>
  </si>
  <si>
    <t>Kualitas sebagian besar jalan di Desa</t>
  </si>
  <si>
    <t>Kondisi Penerangan Jalan Utama Desa</t>
  </si>
  <si>
    <t>Ketersediaan penerangan di jalan-jalan utama di desa</t>
  </si>
  <si>
    <t>Operasional desa dalam penyediaan penerangan di jalan-jalan utama di desa</t>
  </si>
  <si>
    <t>5.B</t>
  </si>
  <si>
    <t>SUB-DIMENSI KEMUDAHAN AKSES</t>
  </si>
  <si>
    <t>Keberadaan Angkutan Perdesaan/Angkutan Lokal/ Sejenis</t>
  </si>
  <si>
    <t>Apakah terdapat Angkutan Perdesaan/Angkutan Lokal/ Sejenis di Desa (angkot/taksi/ojek/becak/bentor/perahu/kapal/dan sejenisnya)?</t>
  </si>
  <si>
    <t>Bagaimana hari operasional Angkutan Perdesaan/Angkutan Lokal/Sejenis  di Desa?</t>
  </si>
  <si>
    <t>Trayek Transportasi Angkutan Perdesaan/Angkutan Lokal/ Sejenis yang ada di desa?</t>
  </si>
  <si>
    <t>TATA KELOLA PEMERINTAHAN DESA</t>
  </si>
  <si>
    <t>SUB-DIMENSI KELEMBAGAAN DAN PELAYANAN DESA</t>
  </si>
  <si>
    <t>Pelaksanaan Pelayanan dan Administrasi Desa</t>
  </si>
  <si>
    <t>Apakah layanan diberikan setiap hari/hari kerja/kurang dari jumlah hari kerja?</t>
  </si>
  <si>
    <t>Kelengkapan Administrasi Desa</t>
  </si>
  <si>
    <t>Apakah telah dilaksanakan Administrasi Umum Desa?</t>
  </si>
  <si>
    <t>Bila telah dilaksanakan Administrasi Umum di Desa, jenisnya:</t>
  </si>
  <si>
    <t>i. Buku Peraturan di Desa</t>
  </si>
  <si>
    <t>Diisi</t>
  </si>
  <si>
    <t>Tidak diisi</t>
  </si>
  <si>
    <t>Apakah telah dilaksanakan Administrasi Kependudukan Desa?</t>
  </si>
  <si>
    <t>Bila telah dilaksanakan Administrasi Kependudukan di Desa, jenisnya:</t>
  </si>
  <si>
    <t>i. Buku Induk Penduduk</t>
  </si>
  <si>
    <t>ii. Buku Mutasi Penduduk Desa</t>
  </si>
  <si>
    <t>iii. Buku Rekapitulasi Jumlah Penduduk</t>
  </si>
  <si>
    <t>iv. Buku Penduduk Sementara; dan</t>
  </si>
  <si>
    <t>v. Buku Kartu Tanda Penduduk dan Buku Kartu Keluarga</t>
  </si>
  <si>
    <t>Apakah telah dilaksanakan Administrasi Keuangan Desa?</t>
  </si>
  <si>
    <t>Bila telah dilaksanakan Administrasi Keuangan Desa, jenisnya:</t>
  </si>
  <si>
    <t>i. Buku APB Desa</t>
  </si>
  <si>
    <t>ii. Buku Rencana Anggaran Biaya</t>
  </si>
  <si>
    <t>iii. Buku Kas Pembantu Kegiatan</t>
  </si>
  <si>
    <t>iv. Buku Kas Umum</t>
  </si>
  <si>
    <t>v. Buku Kas Pembantu</t>
  </si>
  <si>
    <t>vi. Buku Bank Desa</t>
  </si>
  <si>
    <t>Apakah telah dilaksanakan Administrasi Pembangunan Desa?</t>
  </si>
  <si>
    <t>i. Buku Rencana Kerja Pembangunan Desa</t>
  </si>
  <si>
    <t>ii. Buku Kegiatan Pembangunan</t>
  </si>
  <si>
    <t>iii. Buku Inventarisasi Hasil-hasil Pembangunan</t>
  </si>
  <si>
    <t>iv. Buku Kader Pendampingan dan Pemberdayaan Masyarakat</t>
  </si>
  <si>
    <t>Apakah telah dilaksanakan Administrasi Lainnya?</t>
  </si>
  <si>
    <t>Bila telah dilaksanakan Administrasi Lainnya, jenisnya:</t>
  </si>
  <si>
    <t>i. Buku Administrasi Badan Permusyawaratan Desa;</t>
  </si>
  <si>
    <t>ii. Buku Musyawarah Desa;</t>
  </si>
  <si>
    <t>iii. Buku Lembaga Kemasyarakatan Desa/Lembaga Adat</t>
  </si>
  <si>
    <t>Peraturan Kewenangan Desa</t>
  </si>
  <si>
    <t>Apakah sudah ditetapkan Peraturan Bupati tentang Kewenangan Desa?</t>
  </si>
  <si>
    <t>Apakah sudah ditetapkan Peraturan Desa tentang Kewenangan Desa?</t>
  </si>
  <si>
    <t xml:space="preserve">Kelengkapan Pemerintah Desa, Badan Permusyawatan Desa dan Lembaga Kemasyarakatan Desa </t>
  </si>
  <si>
    <t>Apakah Desa sudah memiliki Standar Operasional Prosedur Pelayanan Masyarakat Desa?</t>
  </si>
  <si>
    <t xml:space="preserve">Badan Permusyawaratan Desa (BPD) </t>
  </si>
  <si>
    <t>Jumlah Kegiatan Pemberdayaan BPD dalam 1 tahun</t>
  </si>
  <si>
    <t>Kegiatan</t>
  </si>
  <si>
    <t xml:space="preserve">Lembaga Kemasyarakatan di Desa dan Keberadaan Aktivitas Pemberdayaan Masyarakat </t>
  </si>
  <si>
    <t>Ketersediaan Lembaga Adat Desa (LAD)</t>
  </si>
  <si>
    <t>Pemanfaatan Teknologi dalam Pelayanan Desa (SPBE)</t>
  </si>
  <si>
    <t>Apakah sudah dilaksanakan publikasi informasi pelayanan kepada masyarakat desa?</t>
  </si>
  <si>
    <t>Apakah sudah dilaksanakan pelayanan administrasi untuk masyarakat desa?</t>
  </si>
  <si>
    <t>Apakah sudah dilaksanakan pelayanan pengaduan untuk masyarakat desa?</t>
  </si>
  <si>
    <t>Apakah sudah dilaksanakan pelayanan lainnya untuk masyarakat desa?</t>
  </si>
  <si>
    <t>Metode publikasi informasi/pelayanan administrasi/pengaduan/pelayanan lainnya untuk masyarakat desa</t>
  </si>
  <si>
    <t>Musyawarah Desa</t>
  </si>
  <si>
    <t>Berapa Kali musyawarah Desa selama setahun terakhir?</t>
  </si>
  <si>
    <t>Jumlah Musyawarah terencana di Desa</t>
  </si>
  <si>
    <t>Jumlah Musyawarah insidental di Desa</t>
  </si>
  <si>
    <t>Inklusivitas Musyawarah Desa</t>
  </si>
  <si>
    <t>Tindak Lanjut Musyawarah Desa</t>
  </si>
  <si>
    <t>Apakah terdapat usulan dari musyawarah desa yang diakomodir dalam dokumen perencanaan desa?</t>
  </si>
  <si>
    <t xml:space="preserve">Apakah terdapat usulan kelompok perempuan dan/atau kelompok merjinal lainnya (kelompok masyarakat miskin/kelompok penyandang disabilitas/kelompok lanjut usia/lainnya) yang diakomodir? </t>
  </si>
  <si>
    <t>SUB-DIMENSI TATA KELOLA KEUANGAN DESA</t>
  </si>
  <si>
    <t>Pendapatan Asli Desa (PADes) dan Dana Desa</t>
  </si>
  <si>
    <t>Apakah terdapat Pendapatan Asli Desa?</t>
  </si>
  <si>
    <t>Sumber PADes tahun sebelumnya</t>
  </si>
  <si>
    <t>By system</t>
  </si>
  <si>
    <t>Peningkatan PADes</t>
  </si>
  <si>
    <t>Apakah dilakukan penyertaan modal dari Dana Desa kepada BUMDesa?</t>
  </si>
  <si>
    <t>Persentase Dana Desa yang disertakan sebagai modal BUMDesa</t>
  </si>
  <si>
    <t>Jumlah Kepemilikan dan Produktivitas Aset Desa</t>
  </si>
  <si>
    <t>Aset yang dimiliki oleh desa</t>
  </si>
  <si>
    <t>Produktivitas Kepemilikan Aset Desa</t>
  </si>
  <si>
    <t>Apakah telah dilakukan inventarisasi aset desa?</t>
  </si>
  <si>
    <t>Jangka waktu publikasi APBDes dalam 1 tahun?</t>
  </si>
  <si>
    <t>frekuensi Kali Pertahun</t>
  </si>
  <si>
    <t>Rumah Tanga</t>
  </si>
  <si>
    <t>max 24</t>
  </si>
  <si>
    <t>1-A</t>
  </si>
  <si>
    <t>Akses terhadap PAUD/TK/Sederajat</t>
  </si>
  <si>
    <t>Akses terhadap SD/MI/Sederajat</t>
  </si>
  <si>
    <t>Akses terhadap SMP/MTs/Sederajat</t>
  </si>
  <si>
    <t>Akses terhadap SMA/SMK/MA/MAK/Sederajat</t>
  </si>
  <si>
    <t>1-B</t>
  </si>
  <si>
    <t>1-C</t>
  </si>
  <si>
    <t>SUB-DIMENSI UTILITAS DASAR</t>
  </si>
  <si>
    <t>2-A</t>
  </si>
  <si>
    <t>2-B</t>
  </si>
  <si>
    <t>3-A</t>
  </si>
  <si>
    <t>3-B</t>
  </si>
  <si>
    <t>4-A</t>
  </si>
  <si>
    <t>4-B</t>
  </si>
  <si>
    <t>5-A</t>
  </si>
  <si>
    <t>5-B</t>
  </si>
  <si>
    <t>6-A</t>
  </si>
  <si>
    <t>6-B</t>
  </si>
  <si>
    <t>TOTAL SKOR</t>
  </si>
  <si>
    <t>SKOR INDEKS DESA 2024</t>
  </si>
  <si>
    <t>Layanan Pos dan/ Logistik</t>
  </si>
  <si>
    <t>Keaktifan Aktivitas Ekonomi di Desa</t>
  </si>
  <si>
    <t>template</t>
  </si>
  <si>
    <t>max 50rb</t>
  </si>
  <si>
    <t>0</t>
  </si>
  <si>
    <t>1</t>
  </si>
  <si>
    <t>Template</t>
  </si>
  <si>
    <t>max 20rb</t>
  </si>
  <si>
    <t>2</t>
  </si>
  <si>
    <t>2G/ 2.5G/ GPRS/ EDGE</t>
  </si>
  <si>
    <t>3G/ 3.5G/ HSDPA/ EVDO</t>
  </si>
  <si>
    <t>4G LTE</t>
  </si>
  <si>
    <t>5G</t>
  </si>
  <si>
    <t>Biznet</t>
  </si>
  <si>
    <t>XL Home</t>
  </si>
  <si>
    <t>Smartfren</t>
  </si>
  <si>
    <t>Indosat GIG</t>
  </si>
  <si>
    <t>Icon + PLN</t>
  </si>
  <si>
    <t>My Republic</t>
  </si>
  <si>
    <t>CBN Fiber</t>
  </si>
  <si>
    <t>Lainnya</t>
  </si>
  <si>
    <t xml:space="preserve"> max 25rb</t>
  </si>
  <si>
    <t>Batas isian</t>
  </si>
  <si>
    <t>Seleksi Dropdown</t>
  </si>
  <si>
    <t xml:space="preserve"> dari monev DD</t>
  </si>
  <si>
    <t>Max 24</t>
  </si>
  <si>
    <t>max 25</t>
  </si>
  <si>
    <t>Pemerintah</t>
  </si>
  <si>
    <t>BUMN</t>
  </si>
  <si>
    <t>BUMD</t>
  </si>
  <si>
    <t>Perorangan</t>
  </si>
  <si>
    <t>max 10rb</t>
  </si>
  <si>
    <t>Domestik</t>
  </si>
  <si>
    <t>Ekspor</t>
  </si>
  <si>
    <t>max 10-120rb</t>
  </si>
  <si>
    <t>max 600</t>
  </si>
  <si>
    <t>max 1200</t>
  </si>
  <si>
    <t>Max Jlh Posyandu</t>
  </si>
  <si>
    <t>max 1990-2024</t>
  </si>
  <si>
    <t>l</t>
  </si>
  <si>
    <t>m</t>
  </si>
  <si>
    <t>Fasilitas Kesehatan Pustu/Poskesdes/Polindes</t>
  </si>
  <si>
    <t>Jumlah fasilitas kesehatan Pustu/ poskesdes/ polindes di desa</t>
  </si>
  <si>
    <t>Ketersediaan sarana transportasi menuju Pustu/ Poskesdes/ Polindes di Desa</t>
  </si>
  <si>
    <t>Kemudahan akses menuju Fasilitas Kesehatan Pustu/ Poskesdes/Polindes</t>
  </si>
  <si>
    <t>Bila telah dilaksanakan Administrasi Pembangunan Desa, jenisnya:</t>
  </si>
  <si>
    <t>Apakah terdapat usulan dari musyawarah desa yang di-advokasi-kan kepada tingkat Supra desa?</t>
  </si>
  <si>
    <t>Publikasi APBDesa</t>
  </si>
  <si>
    <t>Max jlh usia 3-6</t>
  </si>
  <si>
    <t>Akses Terhadap Pendidikan SD/MI/Sederajat</t>
  </si>
  <si>
    <t>Akses Terhadap Pendidikan SMP/MTs/Sederajat</t>
  </si>
  <si>
    <t>Jika Terdapat Penyediaan Transportasi Penunjang, oleh Pemerintah Desa/ Masyarakat. Apa Jenis Transportasi Tersebut? (Selain yang disediakan oleh Pemerintah Daerah)</t>
  </si>
  <si>
    <t>Bahan Bakar</t>
  </si>
  <si>
    <t>PERTANYAAN KUISIONER INDEKS DESA 2025</t>
  </si>
  <si>
    <t>Skor PAUD</t>
  </si>
  <si>
    <t>Skor SD</t>
  </si>
  <si>
    <t>Skor SMP</t>
  </si>
  <si>
    <t>Skor SMA</t>
  </si>
  <si>
    <t>Skor SarKes</t>
  </si>
  <si>
    <t>Skor FasKes Poskesdes/ Polindes</t>
  </si>
  <si>
    <t>Skor Layanan Dokter</t>
  </si>
  <si>
    <t>Skor Layanan Bidan</t>
  </si>
  <si>
    <t>Skor Layanan Nakes</t>
  </si>
  <si>
    <t>Skor JamKesNas</t>
  </si>
  <si>
    <t>Skor Persentase RTLH</t>
  </si>
  <si>
    <t>Row Belum dipindah</t>
  </si>
  <si>
    <t>Skor Kearifan SosBud</t>
  </si>
  <si>
    <t>Skor Frek GoRoyong</t>
  </si>
  <si>
    <t>Skor Keg Olahraga</t>
  </si>
  <si>
    <t>Skor Penanganan konflik</t>
  </si>
  <si>
    <t>Skor Satkamling</t>
  </si>
  <si>
    <t>Skor Taman Bacaan/ Perpus</t>
  </si>
  <si>
    <t>Skor Fasilitas Olahraga</t>
  </si>
  <si>
    <t>Skor Ruang Publik Terbuka</t>
  </si>
  <si>
    <t>Skor Ragam Aktivitas Ekonomi</t>
  </si>
  <si>
    <t>Skor Produk Unggulan</t>
  </si>
  <si>
    <t>Skor Ekonomi Kreatif</t>
  </si>
  <si>
    <t>Skor Kerjasama Desa</t>
  </si>
  <si>
    <t>Skor Pendidikan Non-Formal/ Keterampilan</t>
  </si>
  <si>
    <t>Skor Pasar Rakyat</t>
  </si>
  <si>
    <t>Skor Kedai/ R. Makan</t>
  </si>
  <si>
    <t>Skor Penginapan</t>
  </si>
  <si>
    <t>Skor Pos/ Logistik</t>
  </si>
  <si>
    <t>Skor Layanan Keuangan</t>
  </si>
  <si>
    <t>Skor Kearifan Lingkungan</t>
  </si>
  <si>
    <t>Skor Olah Sampah</t>
  </si>
  <si>
    <t>Skor Cemar Lingk</t>
  </si>
  <si>
    <t>Skor Pembuangan Limbah Domestik RT</t>
  </si>
  <si>
    <t>Skor Penanggulangan Bencana</t>
  </si>
  <si>
    <t>Skor Kondisi Jalan</t>
  </si>
  <si>
    <t>Skor Kondisi PJU</t>
  </si>
  <si>
    <t>Skor Angkutan Umum</t>
  </si>
  <si>
    <t>Skor Lay Telekomunikasi</t>
  </si>
  <si>
    <t>Skor Pelayanan &amp; Administrasi</t>
  </si>
  <si>
    <t>Skor Pemanfaatan SPBE</t>
  </si>
  <si>
    <t>Skor MusDes</t>
  </si>
  <si>
    <t>Skor PAD dan DD</t>
  </si>
  <si>
    <t>Skor Kepemilikan dan Produktivitas Aset</t>
  </si>
  <si>
    <t>Akses Terhadap Pendidikan SMA/SMK/MA/MAK/Sederajat</t>
  </si>
  <si>
    <t>Ketersediaan Layanan Tenaga Kesehatan Bidan</t>
  </si>
  <si>
    <t>Pemda</t>
  </si>
  <si>
    <t xml:space="preserve">Berapa banyak rumah tangga di desa yang memiliki akses internet? </t>
  </si>
  <si>
    <t>Rumah</t>
  </si>
  <si>
    <t xml:space="preserve">Apakah masyarakat desa memiliki layanan akses internet publik di desa seperti WiFi gratis? </t>
  </si>
  <si>
    <t>KKP</t>
  </si>
  <si>
    <t>Terdapat Perikanan Tangkap (Mencakup Seluruh Biota Laut)</t>
  </si>
  <si>
    <t>Terdapat Perikanan Budidaya (Mencakup Seluruh Biota Laut)</t>
  </si>
  <si>
    <t>Terdapat Budidaya Rajungan</t>
  </si>
  <si>
    <t>Terdapat Budidaya Rumput Laut</t>
  </si>
  <si>
    <t>Terdapat Budidaya Tuna</t>
  </si>
  <si>
    <t>Potensi Peternakan</t>
  </si>
  <si>
    <t>Terdapat Peternakan Kambing</t>
  </si>
  <si>
    <t>Terdapat Peternakan Ayam Petelur</t>
  </si>
  <si>
    <t>Terdapat Peternakan Ayam Pedaging</t>
  </si>
  <si>
    <t>Terdapat Peternakan Babi</t>
  </si>
  <si>
    <t>Terdapat Peternakan Kerbau</t>
  </si>
  <si>
    <t>Terdapat Budidaya Tilapia</t>
  </si>
  <si>
    <t>Terdapat Budidaya Lele</t>
  </si>
  <si>
    <t>Terdapat Budidaya Udang Air Tawar</t>
  </si>
  <si>
    <t>Terdapat Budidaya Udang Air Laut</t>
  </si>
  <si>
    <t>Terdapat Budidaya Nila</t>
  </si>
  <si>
    <t>Terdapat Budidaya Gurame</t>
  </si>
  <si>
    <t>Terdapat Budidaya Kepiting Air Laut</t>
  </si>
  <si>
    <t>Terdapat Budidaya Kepiting Air Tawar</t>
  </si>
  <si>
    <t>Total Penduduk Pekerja = Total Penduduk</t>
  </si>
  <si>
    <t>Ketersediaan Transpotasi menuju wisata</t>
  </si>
  <si>
    <t>panjang jalan rusak menuju objek wisata</t>
  </si>
  <si>
    <t>Jarak dari kantor desa menuju objek wisata</t>
  </si>
  <si>
    <t>Akun X (Twitter) Desa</t>
  </si>
  <si>
    <t>Akun Tiktok Desa</t>
  </si>
  <si>
    <t>KL</t>
  </si>
  <si>
    <t>ID</t>
  </si>
  <si>
    <t>BNPB</t>
  </si>
  <si>
    <t>KOMDIGI</t>
  </si>
  <si>
    <t>KEMENPAR</t>
  </si>
  <si>
    <t>BAPANAS</t>
  </si>
  <si>
    <t>Jembatan gantung di Desa</t>
  </si>
  <si>
    <t>Kondisi Jembatan gantung di Desa</t>
  </si>
  <si>
    <t>Terdapat Bendungan untuk Irigasi</t>
  </si>
  <si>
    <t>Terdapat Bendungan untuk Budidaya Perikanan</t>
  </si>
  <si>
    <t>Terdapat Bendungan untuk Sumber Energi Listrik</t>
  </si>
  <si>
    <t>Terdapat Bendungan untuk Objek Wisata/ Pariwisata</t>
  </si>
  <si>
    <t>Sesuai Keberadaan Pangan</t>
  </si>
  <si>
    <t>Terdapat Peternakan Sapi</t>
  </si>
  <si>
    <t>Terdapat Peternakan Bebek Pedaging</t>
  </si>
  <si>
    <t>Terdapat Peternakan Bebek Petelur</t>
  </si>
  <si>
    <t>Sesuai Keberadaan Sayur</t>
  </si>
  <si>
    <t>Sesuai Keberadaan Obat</t>
  </si>
  <si>
    <t>Layanan Pos dan/Logistik</t>
  </si>
  <si>
    <t>Waktu tempuh menuju Layanan Pos dan/ Logistik di Desa/ Terdekat</t>
  </si>
  <si>
    <t>Ketersediaan sarana transportasi menuju Layanan Pos dan/ Logistik di Desa/ Terdekat</t>
  </si>
  <si>
    <t>Kemudahan akses menuju Layanan Pos dan/ Logistik di Desa/ Terdekat</t>
  </si>
  <si>
    <t>Jlh Pekerja Tambang &lt; jlh Penduduk</t>
  </si>
  <si>
    <t>Total Penduduk Pekerja = Total Penduduk laki-laki</t>
  </si>
  <si>
    <t>Total Penduduk Pekerja = Total Penduduk Perempuan</t>
  </si>
  <si>
    <t>0,1,2,3,4,5</t>
  </si>
  <si>
    <t>Terdekat</t>
  </si>
  <si>
    <t>15-16</t>
  </si>
  <si>
    <t>14-15</t>
  </si>
  <si>
    <t>warga desa mendapatkan layanan konsultasi kesehatan secara online?</t>
  </si>
  <si>
    <t>&lt; 25</t>
  </si>
  <si>
    <t>100KM</t>
  </si>
  <si>
    <t>&lt;10</t>
  </si>
  <si>
    <t>Bidan Memberikan layanan kesehatan di Desa melalui:</t>
  </si>
  <si>
    <t>Jenis Sarana Akomodasi/Transportasi penunjang Pelayanan Tenaga Kesehatan Oleh Pemerintah Desa/ Masyarakat:</t>
  </si>
  <si>
    <t>&lt; jlh Rumah</t>
  </si>
  <si>
    <t>TOTAL Rumah Jamban = Total Rumah</t>
  </si>
  <si>
    <t>&lt;=jlh Rumah</t>
  </si>
  <si>
    <t>&lt;30</t>
  </si>
  <si>
    <t>&lt;jlh rumah</t>
  </si>
  <si>
    <t>Satuan rumah</t>
  </si>
  <si>
    <t xml:space="preserve">Persentase rumah tangga di desa yang memiliki akses internet? </t>
  </si>
  <si>
    <t>Apa perangkat digital yang dimiliki di kantor desa?</t>
  </si>
  <si>
    <t>Desa berbatasan dengan negara tetangga</t>
  </si>
  <si>
    <t>&lt;5KM</t>
  </si>
  <si>
    <t>Hari Operasional BUM Desa</t>
  </si>
  <si>
    <t>Hari Operasional BUM Desa Bersama</t>
  </si>
  <si>
    <t>Sumber Air</t>
  </si>
  <si>
    <t>max 12</t>
  </si>
  <si>
    <t>Kejadian Bencana Alam yang sering terjadi dalam 1 tahun terakhir</t>
  </si>
  <si>
    <t>List bencana</t>
  </si>
  <si>
    <t>Max 50</t>
  </si>
  <si>
    <t xml:space="preserve"> max 50</t>
  </si>
  <si>
    <t>&lt;20</t>
  </si>
  <si>
    <t>Total APBDES Tahun 2025</t>
  </si>
  <si>
    <t>Besaran PADes pada tahun 2024</t>
  </si>
  <si>
    <t>Besaran PADes pada 2023</t>
  </si>
  <si>
    <t>Laki-laki</t>
  </si>
  <si>
    <t>Perempuan</t>
  </si>
  <si>
    <t>Kelompok Tani</t>
  </si>
  <si>
    <t>Perguruan Tinggi</t>
  </si>
  <si>
    <t>LSM</t>
  </si>
  <si>
    <t>Tidak Optimal</t>
  </si>
  <si>
    <t>Optimal</t>
  </si>
  <si>
    <t>Sangat Optimal</t>
  </si>
  <si>
    <t>&gt;2</t>
  </si>
  <si>
    <t>&lt;60</t>
  </si>
  <si>
    <t>Apakah desa memproduksi garam yang bersumber dari air laut</t>
  </si>
  <si>
    <t>Bagaimana proses pembuatan garam laut di desa</t>
  </si>
  <si>
    <t>Tradisional</t>
  </si>
  <si>
    <t>Modern</t>
  </si>
  <si>
    <t>Tradisional dan Modern</t>
  </si>
  <si>
    <t>Komputer PC/ Desktop</t>
  </si>
  <si>
    <t>Apakah penduduk desa sudah mendapatkan sosialisasi pemanfaatan TIK atau internet sehat?</t>
  </si>
  <si>
    <t>komdigi</t>
  </si>
  <si>
    <t>Berapa kali penduduk desa sudah mendapatkan sosialisasi pemanfaatan TIK atau internet sehat dalam 1 tahun terakhir?</t>
  </si>
  <si>
    <t>Apakah perangkat desa mendukung literasi digital di desa?</t>
  </si>
  <si>
    <t xml:space="preserve">Apakah desa melakukan sosialisasi terkait dengan pemanfaatan TIK atau internet sehat? </t>
  </si>
  <si>
    <t xml:space="preserve">Apakah ada komunitas atau kelompok belajar digital di desa?  </t>
  </si>
  <si>
    <t xml:space="preserve">Apakah desa memiliki fasilitas publik untuk pembelajaran digital? (seperti ruang belajar, komputer)  </t>
  </si>
  <si>
    <t>Berapa rata-rata pengeluaran penduduk desa dalam membeli pulsa/kuota untuk mengakses internet?</t>
  </si>
  <si>
    <t>Apakah penduduk desa sudah mendapatkan layanan kependudukan berbasis online (misal: pengurusan KK atau KTP secara online)</t>
  </si>
  <si>
    <t>Apakah pendudukdesa sudah mendapatkan sosialisasi layanan kependudukan berbasis online (misal: pengurusan KK atau KTP secara online)</t>
  </si>
  <si>
    <t>Apakah pendudukdesa sudah mendapatkan layanan kesehatan berbasis online (misal: Aplikasi Mobile BPJS/ BPJS Kesehatan Online)</t>
  </si>
  <si>
    <t>Apakah penduduk desa sudah mendapatkan sosialisasi layanan kesehatan berbasis online (misal: Aplikasi Mobile BPJS/ BPJS Kesehatan Online)</t>
  </si>
  <si>
    <t xml:space="preserve">Apakah pendudukdesa sudah mendapatkan layanan pendidikan berbasis online (misal: Pendaftraran Peserta Didik Baru secara online) </t>
  </si>
  <si>
    <t xml:space="preserve">Apakah pendudukdesa sudah mendapatkan sosialisasi layanan pendidikan berbasis online (misal: Pendaftraran Peserta Didik Baru secara online) </t>
  </si>
  <si>
    <t>Apakah warga desa sudah mendapatkan layanan perijinan berbasis online (misal: Pengurusan SKCK atau SIM secara online)</t>
  </si>
  <si>
    <t>Apakah penduduk desa sudah mendapatkan sosialisasi layanan perijinan berbasis online (misal: Pengurusan SKCK atau SIM secara online)</t>
  </si>
  <si>
    <t>Apakah terdapat layanan pemerintah berbasis elektronik lainnya yang dapat diakses oleh Penduduk desa secara elektronik (misal; Pendaftaran kartu prakerja)</t>
  </si>
  <si>
    <t>Apakah pemerintah desa menyiapkan anggaran untuk penyelenggaraan layanan berbasis online?</t>
  </si>
  <si>
    <t>Apakah pemerintah desa menyiapkan dan melatih sumber daya manusia untuk penyelenggaraan layanan pemerintah berbasis online?</t>
  </si>
  <si>
    <t>Apakah perangkat desa menyediakan layanan bantuan (helpdesk) untuk membantu penduduk desa dalam menggunakan layanan pemerintah berbasis online?</t>
  </si>
  <si>
    <t>Apakah terdapat kendala yang dihadapi oleh penduduk desa terkait dengan penggunaan layanan pemerintah berbasis elektronik?</t>
  </si>
  <si>
    <t>Apa kendala yang dihadapi oleh penduduk desa terkait dengan penggunaan layanan pemerintah berbasis elektronik?</t>
  </si>
  <si>
    <t>Jika tersedia, berapa jumlah titik akses (access point) internet gratis yang tersedia di desa anda ?</t>
  </si>
  <si>
    <t>Apakah peraturan dan kegiatan perlindungan keamanan tersebut bermanfaat?</t>
  </si>
  <si>
    <t>Sosialisasi Pengetahuan Kebencanaan</t>
  </si>
  <si>
    <t xml:space="preserve">Penyebarluasan Peringatan Bahaya </t>
  </si>
  <si>
    <t xml:space="preserve">Rencana Evakuasi </t>
  </si>
  <si>
    <t xml:space="preserve">Jalur Evakuasi </t>
  </si>
  <si>
    <t xml:space="preserve">Tempat Pengungsian </t>
  </si>
  <si>
    <t>Mekanisme Penilaian Pasca Bencana Secara Mandiri</t>
  </si>
  <si>
    <t>Mekanisme Pemulihan Dini Mandiri</t>
  </si>
  <si>
    <t>Mekanisme Pengelolaan Bantuan Secara Mandiri yang Transparan dan Akuntabel</t>
  </si>
  <si>
    <t>Membangun Kembali dengan Lebih Baik</t>
  </si>
  <si>
    <t>Jumlah Pedagang di pasar dengan bangunan permanen</t>
  </si>
  <si>
    <t>tidak ada, &lt;=50, 50-100,100-200,&gt;200</t>
  </si>
  <si>
    <t>Jumlah Pedagang di pasar dengan bangunan semi permanen</t>
  </si>
  <si>
    <t>Jumlah Pedagang di pasar dengan tanpa bangunan</t>
  </si>
  <si>
    <t>KEMENDAG</t>
  </si>
  <si>
    <t xml:space="preserve"> Jumlah pemilik toko/warung kelontong di desa</t>
  </si>
  <si>
    <t>Terdapat Kedai/Rumah Makan di Desa</t>
  </si>
  <si>
    <t>Jumlah Kedai/Rumah Makan di Desa Kedai/Rumah Makan di Desa</t>
  </si>
  <si>
    <t>Jumlah hotel / penginapan di Desa</t>
  </si>
  <si>
    <t>Jumlah Pelaku usaha yang melakukan perdagangan melalui sistem pembayaran elektronik (Qris, Dompet Digital, mesin EDC, Mbanking, dll)</t>
  </si>
  <si>
    <t>Apakah pemerintah Desa bekerjasama dengan pihak lain dalam pengembangan/peningkatan menyelenggarakan pelayanan administrasi dan kependudukan tersebut?</t>
  </si>
  <si>
    <t>Apakah terdapat peraturan pemerintah Desa memiliki aturan atau kegiatan pemberdayaan perempuan dan perlindungan anak?</t>
  </si>
  <si>
    <t>Apakah pemerintah Desa mengalokasikan anggaran untuk keberlanjutan penyediaan air bersih tersebut?</t>
  </si>
  <si>
    <t>Apakah pemerintah Desa mengalokasikan anggaran untuk penerapan aturan atau keberlanjutan peraturan dan kegiatan keagamaan</t>
  </si>
  <si>
    <t xml:space="preserve"> Apakah pemerintah Desa mengalokasikan anggaran untuk penerapan aturan atau kegiatan budaya</t>
  </si>
  <si>
    <t>Apakah pemerintah Desa mengalokasikan anggaran untuk keberlanjutan penerapan aturan dan pelaksanaan kegiatan perlindungan keamanan tersebut?</t>
  </si>
  <si>
    <t>Apakah pemerintah Desa bekerjasama dengan pihak lain dalam pengembangan/peningkatan perlindungan keamanan tersebut?</t>
  </si>
  <si>
    <t>Nama Desa Wisata</t>
  </si>
  <si>
    <t>Nomor SK Desa Wisata</t>
  </si>
  <si>
    <t>&lt;500 meter</t>
  </si>
  <si>
    <t xml:space="preserve"> 500-2.500 meter</t>
  </si>
  <si>
    <t>&gt;2.500 meter</t>
  </si>
  <si>
    <t>Tanah</t>
  </si>
  <si>
    <t>&lt;100 meter</t>
  </si>
  <si>
    <t>100-500 meter</t>
  </si>
  <si>
    <t>500-1.000 meter</t>
  </si>
  <si>
    <t>1.000-1.500 meter</t>
  </si>
  <si>
    <t>BUMDES</t>
  </si>
  <si>
    <t>BUMDES BERSAMA</t>
  </si>
  <si>
    <t>POKDARWIS</t>
  </si>
  <si>
    <t>PEMERINTAH</t>
  </si>
  <si>
    <t>PELAKU USAHA/ UMKM LOKAL</t>
  </si>
  <si>
    <t>INVESTOR/ SWASTA</t>
  </si>
  <si>
    <t>AKADEMISI/ PENELITI</t>
  </si>
  <si>
    <t>LAINNYA</t>
  </si>
  <si>
    <t>Kondisi jalan sebagian besar menuju objek wisata</t>
  </si>
  <si>
    <t>&gt;1.500 meter</t>
  </si>
  <si>
    <t>Terdapat Hutan Negara</t>
  </si>
  <si>
    <t>Terdapat Hutan Rakyat</t>
  </si>
  <si>
    <t>Terdapat Keberadaan Hutan Mangrove</t>
  </si>
  <si>
    <t>Investor/Swasta</t>
  </si>
  <si>
    <t>Pemerintah Desa</t>
  </si>
  <si>
    <t>&lt; 3/4*jlh Penduduk</t>
  </si>
  <si>
    <t>jlh Penduduk Laki+Perempuan &lt;=120rb</t>
  </si>
  <si>
    <t>&lt;total KK</t>
  </si>
  <si>
    <t>+Total Penduduk Usia = Total Penduduk</t>
  </si>
  <si>
    <t>10% dari jlh penduduk</t>
  </si>
  <si>
    <t>Masyarakat</t>
  </si>
  <si>
    <t>&lt; usia SMP</t>
  </si>
  <si>
    <t>Tidak Berfungsi/ Tidak Aktif</t>
  </si>
  <si>
    <t>Berfungsi/ Aktif</t>
  </si>
  <si>
    <t>Waktu tempuh menuju Posyandu terdekat</t>
  </si>
  <si>
    <t>Jarak menuju Posyandu terdekat</t>
  </si>
  <si>
    <t>Ketersediaan sarana transportasi menuju Posyandu terdekat</t>
  </si>
  <si>
    <t>Aktif</t>
  </si>
  <si>
    <t>Tidak Aktif</t>
  </si>
  <si>
    <t>Iuran Bulanan Masyarakat</t>
  </si>
  <si>
    <t>APBDes</t>
  </si>
  <si>
    <t>Iuran Bulanan Masyarakat dan APBDes</t>
  </si>
  <si>
    <t>&lt;5</t>
  </si>
  <si>
    <t>Yayasan</t>
  </si>
  <si>
    <t>Kadang-kadang</t>
  </si>
  <si>
    <t>Ya, Sebagian Besar</t>
  </si>
  <si>
    <t>Ya, Sebagian Kecil</t>
  </si>
  <si>
    <t>Jumlah Rumah yang dihuni di Desa</t>
  </si>
  <si>
    <t>Swadaya</t>
  </si>
  <si>
    <t>Perseorangan</t>
  </si>
  <si>
    <t>Indihome</t>
  </si>
  <si>
    <t>First Media</t>
  </si>
  <si>
    <t>Oxygen.id</t>
  </si>
  <si>
    <t>Starlink</t>
  </si>
  <si>
    <t>5-10</t>
  </si>
  <si>
    <t>10-15</t>
  </si>
  <si>
    <t>&gt;15</t>
  </si>
  <si>
    <t>Sudah</t>
  </si>
  <si>
    <t>Belum</t>
  </si>
  <si>
    <t>1-2 Kali</t>
  </si>
  <si>
    <t>&gt;2 Kali</t>
  </si>
  <si>
    <t>&lt;25.000</t>
  </si>
  <si>
    <t>25.000 - 50.000</t>
  </si>
  <si>
    <t>50.000 - 100.000</t>
  </si>
  <si>
    <t>&gt;100.000</t>
  </si>
  <si>
    <t>Baik</t>
  </si>
  <si>
    <t>Sedang</t>
  </si>
  <si>
    <t>Rusak</t>
  </si>
  <si>
    <t>&lt;12</t>
  </si>
  <si>
    <t>Apakah pemerintah Desa memiliki peraturan terkait perlindungan keamanan?</t>
  </si>
  <si>
    <t>Waktu tempuh menuju pasar terdekat</t>
  </si>
  <si>
    <t>Ketersediaan sarana transportasi menuju pasar terdekat</t>
  </si>
  <si>
    <t>Jarak menuju pasar terdekat</t>
  </si>
  <si>
    <t>Kemudahan akses menuju pasar</t>
  </si>
  <si>
    <t>&lt;50</t>
  </si>
  <si>
    <t>50 - 100</t>
  </si>
  <si>
    <t>100 - 200</t>
  </si>
  <si>
    <t>&gt;200</t>
  </si>
  <si>
    <t>&lt;150</t>
  </si>
  <si>
    <t xml:space="preserve"> Jumlah pemilik Kedai/Rumah Makan di desa</t>
  </si>
  <si>
    <t xml:space="preserve"> Jumlah pemilik Penginapan/ Hotel di desa</t>
  </si>
  <si>
    <t>Sebutkan Bahan bakar Masak Lainnya</t>
  </si>
  <si>
    <t>Ada, Dikelola Oleh Bumdes</t>
  </si>
  <si>
    <t>Ada, Dikelola Oleh Mitra Lainnya</t>
  </si>
  <si>
    <t>Sebutkan Layanan Fasilitas Kredit Lainnya</t>
  </si>
  <si>
    <t>Jenis tempat pembuangan lainnya di Desa</t>
  </si>
  <si>
    <t>kejadian bencana dalam kurun waktu satu tahun terakhir</t>
  </si>
  <si>
    <t>Latihan Penanggulangan Bencana</t>
  </si>
  <si>
    <t>Kerjasama Pihak Luar Terkait Penanggulangan Bencana</t>
  </si>
  <si>
    <t>Status dan kondisi jalan yang ada di Desa</t>
  </si>
  <si>
    <t>Rusak, Tidak Bisa dilalui</t>
  </si>
  <si>
    <t>Rusak, Bisa lalui</t>
  </si>
  <si>
    <r>
      <rPr>
        <b/>
        <sz val="11"/>
        <color rgb="FF000000"/>
        <rFont val="Calibri"/>
        <family val="2"/>
        <scheme val="minor"/>
      </rPr>
      <t xml:space="preserve">Jika, </t>
    </r>
    <r>
      <rPr>
        <sz val="11"/>
        <color rgb="FF000000"/>
        <rFont val="Calibri"/>
        <family val="2"/>
        <scheme val="minor"/>
      </rPr>
      <t xml:space="preserve">Jabatan Petugas Merupakan </t>
    </r>
    <r>
      <rPr>
        <b/>
        <sz val="11"/>
        <color rgb="FF000000"/>
        <rFont val="Calibri"/>
        <family val="2"/>
        <scheme val="minor"/>
      </rPr>
      <t>Perangkat Desa</t>
    </r>
  </si>
  <si>
    <t>Harapan Lama Sekolah (HLS) penduduk umur ≤15 tahun</t>
  </si>
  <si>
    <r>
      <t xml:space="preserve">i. </t>
    </r>
    <r>
      <rPr>
        <b/>
        <sz val="11"/>
        <rFont val="Calibri"/>
        <family val="2"/>
        <scheme val="minor"/>
      </rPr>
      <t>Jika TERSEDIA</t>
    </r>
    <r>
      <rPr>
        <sz val="11"/>
        <rFont val="Calibri"/>
        <family val="2"/>
        <scheme val="minor"/>
      </rPr>
      <t>, dalam bentuk apa dukungan beasiswa diberikan?</t>
    </r>
  </si>
  <si>
    <r>
      <rPr>
        <sz val="11"/>
        <rFont val="Calibri"/>
        <family val="2"/>
        <scheme val="minor"/>
      </rPr>
      <t>Ketersediaan</t>
    </r>
    <r>
      <rPr>
        <b/>
        <sz val="11"/>
        <rFont val="Calibri"/>
        <family val="2"/>
        <scheme val="minor"/>
      </rPr>
      <t xml:space="preserve"> </t>
    </r>
    <r>
      <rPr>
        <sz val="11"/>
        <rFont val="Calibri"/>
        <family val="2"/>
        <scheme val="minor"/>
      </rPr>
      <t xml:space="preserve">Layanan Fasilitas Kredit </t>
    </r>
  </si>
  <si>
    <t>Plt Kades</t>
  </si>
  <si>
    <t>KASI Pelayanan</t>
  </si>
  <si>
    <t>Kepala Desa</t>
  </si>
  <si>
    <t>Sekreatris Desa</t>
  </si>
  <si>
    <t>KAUR Umum</t>
  </si>
  <si>
    <t>KAUR Keuangan</t>
  </si>
  <si>
    <t>KAUR Perencanaan</t>
  </si>
  <si>
    <t>KASI Pemerintahan</t>
  </si>
  <si>
    <t>KASI Kesejahteraan</t>
  </si>
  <si>
    <t>Definitif</t>
  </si>
  <si>
    <t>Penjabat</t>
  </si>
  <si>
    <t>Periode ke-1</t>
  </si>
  <si>
    <t>Periode ke-2</t>
  </si>
  <si>
    <t>Periode ke-3</t>
  </si>
  <si>
    <t>Periode jabatan Plt/Kepala Desa saat ini</t>
  </si>
  <si>
    <t>Musyawarah Desa dihadiri Unsur Tokoh Adat</t>
  </si>
  <si>
    <t>Musyawarah Desa dihadiri Unsur Tokoh Agama</t>
  </si>
  <si>
    <t>Musyawarah Desa dihadiri Unsur Tokoh Masyarakat</t>
  </si>
  <si>
    <t>Musyawarah Desa dihadiri Unsur Tokoh Pendidikan</t>
  </si>
  <si>
    <t>Musyawarah Desa dihadiri Unsur Kelompok Tani</t>
  </si>
  <si>
    <t>Musyawarah Desa dihadiri Unsur Kelompok Nelayan</t>
  </si>
  <si>
    <t>Musyawarah Desa dihadiri Unsur Kelompok Perajin</t>
  </si>
  <si>
    <t xml:space="preserve">Musyawarah Desa dihadiri Unsur Kelompok Perempuan </t>
  </si>
  <si>
    <t>Musyawarah Desa dihadiri Unsur Kelompok Penyandang Disabilitas</t>
  </si>
  <si>
    <t>Musyawarah Desa dihadiri Unsur Kelompok Lanjut Usia</t>
  </si>
  <si>
    <t>Musyawarah Desa dihadiri Unsur Kelompok Masyarakat Miskin</t>
  </si>
  <si>
    <t>Malaysia</t>
  </si>
  <si>
    <t>Papua Nugini</t>
  </si>
  <si>
    <t>Timor Leste</t>
  </si>
  <si>
    <t>Singapura</t>
  </si>
  <si>
    <t>Filipina</t>
  </si>
  <si>
    <t>Vietnam</t>
  </si>
  <si>
    <t>India</t>
  </si>
  <si>
    <t>Jumlah Rumah yang sudah terakses listrik sumber listrik Non-PLN</t>
  </si>
  <si>
    <t>Jumlah Rumah yang sudah terakses listrik PLN</t>
  </si>
  <si>
    <t>Jumlah Rumah yang sudah terakses listrik PLN Tanpa Meteran</t>
  </si>
  <si>
    <t>Tahun Pendataan Isi Kuesioner Indeks Desa</t>
  </si>
  <si>
    <t>Tanggal Pendataan Isi Kuesioner Indeks Desa</t>
  </si>
  <si>
    <t>Bulan Pendataan Isi Kuesioner Indeks Desa</t>
  </si>
  <si>
    <t>Maret</t>
  </si>
  <si>
    <t>April</t>
  </si>
  <si>
    <t>Mei</t>
  </si>
  <si>
    <t>Juni</t>
  </si>
  <si>
    <t>Juli</t>
  </si>
  <si>
    <t>Agusuts</t>
  </si>
  <si>
    <t>September</t>
  </si>
  <si>
    <t>Oktober</t>
  </si>
  <si>
    <t>November</t>
  </si>
  <si>
    <t>Desember</t>
  </si>
  <si>
    <t>KUESIONER PENGUKURAN DATA INDEKS DESA TAHUN 2025</t>
  </si>
  <si>
    <t>Bulan Lahir Informan</t>
  </si>
  <si>
    <t>Januari</t>
  </si>
  <si>
    <t>Februari</t>
  </si>
  <si>
    <t>Tahun Lahir Informan</t>
  </si>
  <si>
    <t>Apakah jenis sumber listrik Non-PLN di Desa</t>
  </si>
  <si>
    <t>Adakah Program Pembangunan yang bersumber dari APBD Kabupaten/Kota</t>
  </si>
  <si>
    <t>Adakah Program Pembangunan yang bersumber dari APBD Provinsi</t>
  </si>
  <si>
    <t xml:space="preserve">Adakah Program Pembangunan yang bersumber dari APBN </t>
  </si>
  <si>
    <t>FORMULIR ISIAN PENDATAAN
INDEKS DESA TAHUN 2025</t>
  </si>
  <si>
    <t>KEMENPORA</t>
  </si>
  <si>
    <t>KETERANGAN CEK</t>
  </si>
  <si>
    <t>Jabatan Informan</t>
  </si>
  <si>
    <t>Kode Provinsi</t>
  </si>
  <si>
    <t>Kode Kabupaten</t>
  </si>
  <si>
    <t>Kode Kecamatan</t>
  </si>
  <si>
    <t>Kode Desa</t>
  </si>
  <si>
    <t>Alamat Lengkap Kantor Desa</t>
  </si>
  <si>
    <t>Nama Lengkap Plt/ Kepala Desa Beserta Gelar</t>
  </si>
  <si>
    <t>Nama Provinsi</t>
  </si>
  <si>
    <t>Nama Kabupaten/Kota</t>
  </si>
  <si>
    <t>Nama Kecamatan</t>
  </si>
  <si>
    <t>Nama Desa</t>
  </si>
  <si>
    <t>Terdapat Kantor Desa</t>
  </si>
  <si>
    <t>Status Jabatan Kepala Desa</t>
  </si>
  <si>
    <t>Batas desa dalam bentuk peta yang telah ditetapkan oleh Bupati/Walikota</t>
  </si>
  <si>
    <t>Jenis Kelamin Plt/ Kepala Desa</t>
  </si>
  <si>
    <t xml:space="preserve"> Terdapat Sekretaris Desa</t>
  </si>
  <si>
    <t xml:space="preserve"> Terdapat Kepala seksi Pemerintahan</t>
  </si>
  <si>
    <t xml:space="preserve"> Terdapat Kepala seksi kesejahteraan</t>
  </si>
  <si>
    <t xml:space="preserve"> Terdapat Kepala seksi pelayanan</t>
  </si>
  <si>
    <t xml:space="preserve"> Terdapat Kepala Urusan Tata Usaha dan Umum</t>
  </si>
  <si>
    <t xml:space="preserve"> Terdapat Kepala Urusan Keuangan</t>
  </si>
  <si>
    <t xml:space="preserve"> Kepala Urusan Perencanaan</t>
  </si>
  <si>
    <t xml:space="preserve"> Staf petugas Desa Laki-laki</t>
  </si>
  <si>
    <t xml:space="preserve"> Staf petugas Desa Perempuan</t>
  </si>
  <si>
    <t xml:space="preserve"> Karang Taruna Laki-laki</t>
  </si>
  <si>
    <t xml:space="preserve"> Karang Taruna Perempuan</t>
  </si>
  <si>
    <t>Nama Sekretaris Desa</t>
  </si>
  <si>
    <t>Nama Kepala Seksi Pemerintahan</t>
  </si>
  <si>
    <t>Nama Seksi Kesejahteraan</t>
  </si>
  <si>
    <t>Nama Kepala Seksi Pelayanan</t>
  </si>
  <si>
    <t>Nama Kepala Urusan Tata Usaha dan Umum</t>
  </si>
  <si>
    <t>Nama Kepala Urusan Keuangan</t>
  </si>
  <si>
    <t>nama Kepala  Urusan Perencanaan</t>
  </si>
  <si>
    <t>BPD dan Anggota Laki-laki</t>
  </si>
  <si>
    <t>BPD dan Anggota Perempuan</t>
  </si>
  <si>
    <t>Nomor HP Aktif Sekretaris Desa</t>
  </si>
  <si>
    <t>LPM dan Anggota Laki-laki</t>
  </si>
  <si>
    <t>LPM dan Anggota Perempuan</t>
  </si>
  <si>
    <t>Jenis Kelamin</t>
  </si>
  <si>
    <t>TP. PKK Desa Laki-laki</t>
  </si>
  <si>
    <t>TP. PKK Desa Perempuan</t>
  </si>
  <si>
    <t>Kepala Dusun Laki-laki</t>
  </si>
  <si>
    <t>Kepala Dusun Perempuan</t>
  </si>
  <si>
    <t>Ketua RW Laki-laki</t>
  </si>
  <si>
    <t>Ketua RW Perempuan</t>
  </si>
  <si>
    <t>Ketua RT Laki-laki</t>
  </si>
  <si>
    <t>Ketua RT Perempuan</t>
  </si>
  <si>
    <t>A</t>
  </si>
  <si>
    <t>A1</t>
  </si>
  <si>
    <t>A 101</t>
  </si>
  <si>
    <t>Jumlah pemuda pelopor desa (dalam bidang pendidikan, bidang seni budaya, bidang pengelolaan sumber daya alam, lingkungan dan pariwisata, bidang pangan, bidang inovasi teknologi) dan dilaksanakan secara konsisten serta dirasakan manfaatnya bagi masyarakat desa</t>
  </si>
  <si>
    <t>Terdapat Kelompok/ Organisasi Kepemudaan yang aktif di desa</t>
  </si>
  <si>
    <t>Terdapat Kelompok/ organisasi/lembaga tani</t>
  </si>
  <si>
    <t>Berapa Kali Kelompok/ organisasi/lembaga tani Mengadakan Kegiatan dalam setahun?</t>
  </si>
  <si>
    <t>Terdapat Kelompok/ organisasi/lembaga nelayan</t>
  </si>
  <si>
    <t>Berapa Kali Kelompok/ organisasi/lembaga nelayan Mengadakan Kegiatan dalam setahun?</t>
  </si>
  <si>
    <t>Berapa Kali Kelompok/ organisasi/lembaga usaha ternak Mengadakan Kegiatan dalam setahun?</t>
  </si>
  <si>
    <t>Terdapat Kelompok/ organisasi/lembaga pengrajin</t>
  </si>
  <si>
    <t>Berapa Kali Kelompok/ organisasi/lembaga pengrajin Mengadakan Kegiatan dalam setahun?</t>
  </si>
  <si>
    <t>Terdapat Kelompok/ organisasi/lembaga Penanggulangan Bencana</t>
  </si>
  <si>
    <t>Berapa Kali Kelompok/ organisasi/lembaga Penanggulangan Bencana Mengadakan Kegiatan dalam setahun?</t>
  </si>
  <si>
    <t>Terdapat Kelompok/ organisasi/lembaga khusus wanita</t>
  </si>
  <si>
    <t>Berapa Kali Kelompok/ organisasi/lembaga khusus wanita Mengadakan Kegiatan dalam setahun?</t>
  </si>
  <si>
    <t>Terdapat Kelompok/ organisasi/lembaga Sadar Wisata (POKDARWIS)</t>
  </si>
  <si>
    <t>Berapa Kali Kelompok/ organisasi/lembaga Sadar Wisata (POKDARWIS) Mengadakan Kegiatan dalam setahun?</t>
  </si>
  <si>
    <t>Terdapat Kelompok/ organisasi/lembaga lainnya</t>
  </si>
  <si>
    <t>Apa Kelompok/ organisasi/lembaga lainnya di desa? (Sebutkan)</t>
  </si>
  <si>
    <t>Berapa Kali Kelompok/ organisasi/lembaga lainnya Mengadakan Kegiatan dalam setahun?</t>
  </si>
  <si>
    <t>Jumlah Kegiatan Lembaga Adat Desa (LAD)  dalam 1 tahun</t>
  </si>
  <si>
    <t>Terdapat Kelompok/ organisasi/lembaga usaha ternak</t>
  </si>
  <si>
    <t>Apakah kelompok atau organisasi penanggulangan bencana tersebut bermanfaat?</t>
  </si>
  <si>
    <t>Apakah pemerintah Desa mengalokasikan anggaran untuk keberlanjutan kelompok/organisasi penanggulangan bencana tersebut?</t>
  </si>
  <si>
    <t>Apakah pemerintah Desa bekerjasama dengan pihak lain dalam pengembangan/peningkatan kelompok/organisasi penanggulangan bencana tersebut?</t>
  </si>
  <si>
    <t>Warga Desa mengikuti Musyawarah Desa</t>
  </si>
  <si>
    <t>Jumlah warga desa mengikuti Musyawarah desa</t>
  </si>
  <si>
    <t>Aktivitas Desa</t>
  </si>
  <si>
    <t>Hari jadi Desa/ memperingati hari lahir desa</t>
  </si>
  <si>
    <t>Bulan hari jadi desa/ memperingati hari desa</t>
  </si>
  <si>
    <t>Tanggal hari jadi desa/ memperingati hari desa</t>
  </si>
  <si>
    <t>Terdapat Layanan Pendampingan Masyarakat di Bidang Pendidikan</t>
  </si>
  <si>
    <t>Terdapat Layanan Pendampingan Masyarakat di Bidang Kesehatan</t>
  </si>
  <si>
    <t>Terdapat Layanan Pendampingan Masyarakat di Bidang Sosial/ Budaya</t>
  </si>
  <si>
    <t>Terdapat Layanan Pendampingan Masyarakat di Bidang Ekonomi</t>
  </si>
  <si>
    <t>Terdapat Layanan Pendampingan Masyarakat di Bidang Pemberdayaan Masyarakat</t>
  </si>
  <si>
    <t>Bidang Peningkatan SDM Masyarakat Desa (PSDM) di fasilitasi pihak ke 3</t>
  </si>
  <si>
    <t>Bidang Infrastruktur Desa di fasilitasi pihak ke 3</t>
  </si>
  <si>
    <t>Bidang Pengembangan Ekonomi Lokal (PEL) di fasilitasi pihak ke 3</t>
  </si>
  <si>
    <t>Bidang Pengembangan Desa Wisata di fasilitasi pihak ke 3</t>
  </si>
  <si>
    <t>Bantuan Hukum di fasilitasi pihak ke 3</t>
  </si>
  <si>
    <t>Konsultan Keuangan di fasilitasi pihak ke 3</t>
  </si>
  <si>
    <t>Konsultan Pajak di fasilitasi pihak ke 3</t>
  </si>
  <si>
    <t>Konsultan Pertanian/ Perkebunan/ Peternakan di fasilitasi pihak ke 3</t>
  </si>
  <si>
    <t>Pengembangan Aplikasi Digital di fasilitasi pihak ke 3</t>
  </si>
  <si>
    <t>Infrastruktur</t>
  </si>
  <si>
    <t>Pemberdayaan</t>
  </si>
  <si>
    <t>0 - 450jt</t>
  </si>
  <si>
    <t>450 - 1 M</t>
  </si>
  <si>
    <t>1M - 2 M</t>
  </si>
  <si>
    <t>2M - 3M</t>
  </si>
  <si>
    <t>&gt;3M</t>
  </si>
  <si>
    <t>Program Pembangunan Desa dari APBD, APBN, dan Swasta</t>
  </si>
  <si>
    <t>Kementerian Agama</t>
  </si>
  <si>
    <t>Kementerian Agraria dan Tata Ruang/ Badan Pertanahan Nasional</t>
  </si>
  <si>
    <t>Kementerian Badan Usaha Milik Negara (BUMN)</t>
  </si>
  <si>
    <t>Kementerian Dalam Negeri</t>
  </si>
  <si>
    <t>Kementerian Desa dan Pembangunan Daerah Tertinggal</t>
  </si>
  <si>
    <t>Kementerian Ekonomi Kreatif/Badan Ekonomi Kreatif</t>
  </si>
  <si>
    <t>Kementerian Energi dan Sumber Daya Mineral (ESDM)</t>
  </si>
  <si>
    <t>Kementerian Hak Asasi Manusia (HAM)</t>
  </si>
  <si>
    <t>Kementerian Hukum</t>
  </si>
  <si>
    <t>Kementerian Imigrasi dan Pemasyarakatan</t>
  </si>
  <si>
    <t>Kementerian Investasi dan Hilirisasi/Badan Koordinasi Penanaman Modal</t>
  </si>
  <si>
    <t>Kementerian Kebudayaan</t>
  </si>
  <si>
    <t>Kementerian Kehutanan</t>
  </si>
  <si>
    <t>Kementerian Kelautan dan Perikanan</t>
  </si>
  <si>
    <t>Kementerian Kependudukan dan Pembangunan Keluarga</t>
  </si>
  <si>
    <t>Kementerian Kesehatan</t>
  </si>
  <si>
    <t>Kementerian Ketenagakerjaan</t>
  </si>
  <si>
    <t>Kementerian Keuangan</t>
  </si>
  <si>
    <t>Kementerian Komunikasi dan Digital</t>
  </si>
  <si>
    <t>Kementerian Koordinator Bidang Hukum, HAM, Imigrasi, dan Pemasyarakatan</t>
  </si>
  <si>
    <t>Kementerian Koordinator Bidang Infrastruktur dan Pembangunan Kewilayahan</t>
  </si>
  <si>
    <t>Kementerian Koordinator Bidang Pangan</t>
  </si>
  <si>
    <t>Kementerian Koordinator Bidang Pembangunan Manusia dan Kebudayaan</t>
  </si>
  <si>
    <t>Kementerian Koordinator Bidang Pemberdayaan Masyarakat</t>
  </si>
  <si>
    <t>Kementerian Koordinator Bidang Perekonomian</t>
  </si>
  <si>
    <t>Kementerian Koordinator Bidang Politik dan Keamanan</t>
  </si>
  <si>
    <t>Kementerian Lingkungan Hidup/ Badan Pengendalian Lingkungan Hidup</t>
  </si>
  <si>
    <t>Kementerian Luar Negeri</t>
  </si>
  <si>
    <t>Kementerian Pariwisata</t>
  </si>
  <si>
    <t>Kementerian Pekerjaan Umum</t>
  </si>
  <si>
    <t>Kementerian Pemberdayaan Perempuan dan Perlindungan Anak</t>
  </si>
  <si>
    <t>Kementerian Pemuda dan Olahraga</t>
  </si>
  <si>
    <t>Kementerian Pendidikan Dasar dan Menengah</t>
  </si>
  <si>
    <t>Kementerian Perdagangan</t>
  </si>
  <si>
    <t>Kementerian Perencanaan Pembangunan Nasional/ Bappenas</t>
  </si>
  <si>
    <t>Kementerian Perhubungan</t>
  </si>
  <si>
    <t>Kementerian Perindustrian</t>
  </si>
  <si>
    <t>Kementerian Perlindungan Pekerja Migran Indonesia/ Badan Perlindungan Pekerja Migran Indonesia</t>
  </si>
  <si>
    <t>Kementerian Pertahanan</t>
  </si>
  <si>
    <t>Kementerian Pertanian</t>
  </si>
  <si>
    <t>Kementerian Perumahan dan Kawasan Permukiman</t>
  </si>
  <si>
    <t>Kementerian Sekretariat Negara</t>
  </si>
  <si>
    <t>Kementerian Sosial</t>
  </si>
  <si>
    <t>Kementerian Transmigrasi</t>
  </si>
  <si>
    <t>Kementerian Usaha Mikro Kecil dan Menengah</t>
  </si>
  <si>
    <t>Jenis Program Pembangunan di Desa 1</t>
  </si>
  <si>
    <t>Nama Program Kegiatan 2</t>
  </si>
  <si>
    <t>Nama Program Kegiatan 3</t>
  </si>
  <si>
    <t>Nama Program Kegiatan 4</t>
  </si>
  <si>
    <t>Nama Program Kegiatan 5</t>
  </si>
  <si>
    <t>Nama Program Kegiatan 1</t>
  </si>
  <si>
    <t>Total Anggaran 2</t>
  </si>
  <si>
    <t>Total Anggaran 3</t>
  </si>
  <si>
    <t>Total Anggaran 4</t>
  </si>
  <si>
    <t>Total Anggaran 5</t>
  </si>
  <si>
    <t>Total Anggaran 1</t>
  </si>
  <si>
    <t xml:space="preserve">Bersumber Pembiayaan Kementerian/Lembaga mana </t>
  </si>
  <si>
    <t>Jenis Program Pembangunan di Desa 2</t>
  </si>
  <si>
    <t>Jenis Program Pembangunan di Desa 3</t>
  </si>
  <si>
    <t>Jenis Program Pembangunan di Desa 4</t>
  </si>
  <si>
    <t>Jenis Program Pembangunan di Desa 5</t>
  </si>
  <si>
    <t>Desa Bersih Narkoba (Bersinar)</t>
  </si>
  <si>
    <t>Desa Ramah Perempuan dan Peduli Anak</t>
  </si>
  <si>
    <t>Kampung KB</t>
  </si>
  <si>
    <t>Desa Cerdas</t>
  </si>
  <si>
    <t>Desa Peduli Kesehatan</t>
  </si>
  <si>
    <t>Desa Peduli Keluarga</t>
  </si>
  <si>
    <t>Desa Peduli Perlindungan Sosial</t>
  </si>
  <si>
    <t>Desa Tanggap Budaya</t>
  </si>
  <si>
    <t>Desa Model Lainnya (Sebutkan)</t>
  </si>
  <si>
    <t>Terdapat Wisata Pantai</t>
  </si>
  <si>
    <t>Terdapat Wisata Pegunungan</t>
  </si>
  <si>
    <t>Terdapat Wisata Laut/ Danau</t>
  </si>
  <si>
    <t>Terdapat Wisata Hutan</t>
  </si>
  <si>
    <t>Terdapat Wisata Sungai</t>
  </si>
  <si>
    <t>Terdapat Wisata Air Terjun</t>
  </si>
  <si>
    <t>Terdapat Wisata Pemandian Sumber Air Panas</t>
  </si>
  <si>
    <t>Terdapat Wisata Alam Lainnya</t>
  </si>
  <si>
    <t>Terdapat Wisata Embung</t>
  </si>
  <si>
    <t>Terdapat Wisata Kolam Pemandian Umum</t>
  </si>
  <si>
    <t>Terdapat Wisata Taman</t>
  </si>
  <si>
    <t>Terdapat Wisata Buatan Lainnya</t>
  </si>
  <si>
    <t>Terdapat Wisata Budaya Desa Wisata</t>
  </si>
  <si>
    <t>Terdapat Wisata Sejarah dan Religi</t>
  </si>
  <si>
    <t>Terdapat Wisata Kuliner</t>
  </si>
  <si>
    <t>Terdapat Wisata Seni dan Tradisi</t>
  </si>
  <si>
    <t>Terdapat Wisata Budaya Lainnya</t>
  </si>
  <si>
    <t>Aktivitas Wisata Pantai</t>
  </si>
  <si>
    <t>Aktivitas Wisata Pegunungan (Sebutkan)</t>
  </si>
  <si>
    <t>Aktivitas Wisata Laut/ Danau (Sebutkan)</t>
  </si>
  <si>
    <t>Aktivitas Wisata Hutan (Sebutkan)</t>
  </si>
  <si>
    <t>Aktivitas Wisata Sungai (Sebutkan)</t>
  </si>
  <si>
    <t>Aktivitas Wisata Air Terjun (Sebutkan)</t>
  </si>
  <si>
    <t>Aktivitas Wisata Pemandian Sumber Air Panas (Sebutkan)</t>
  </si>
  <si>
    <t>Nama Wisata Alam Lainnya (Sebutkan)</t>
  </si>
  <si>
    <t>Aktivitas Wisata kolam pemandian umum (Sebutkan)</t>
  </si>
  <si>
    <t>Aktivitas Wisata Taman (Sebutkan)</t>
  </si>
  <si>
    <t>Nama Wisata Buatan Lainnya (Sebutkan)</t>
  </si>
  <si>
    <t>Aktivitas Wisata Budaya Desa Wisata (Sebutkan)</t>
  </si>
  <si>
    <t>Aktivitas Wisata Sejarah dan Religi (Sebutkan)</t>
  </si>
  <si>
    <t>Aktivitas Wisata Kuliner (Sebutkan)</t>
  </si>
  <si>
    <t>Aktivitas Wisata Seni dan Tradisi (Sebutkan)</t>
  </si>
  <si>
    <t>Nama Wisata Budaya Lainnya</t>
  </si>
  <si>
    <t>Pihak Pengelola Wisata Pantai</t>
  </si>
  <si>
    <t>Pengelola Wisata Pengunungan</t>
  </si>
  <si>
    <t>Pengelola Wisata Laut/ Danau</t>
  </si>
  <si>
    <t>Pengelola Wisata Hutan</t>
  </si>
  <si>
    <t>Pengelola Wisata Sungai</t>
  </si>
  <si>
    <t>Pengelola Wisata Air Terjun</t>
  </si>
  <si>
    <t>Pengelola Wisata Pemandian Sumber Air Panas</t>
  </si>
  <si>
    <t>Aktivitas Wisata Alam Lainya (Sebutkan)</t>
  </si>
  <si>
    <t>Pengelola wisata kolam pemandian umum</t>
  </si>
  <si>
    <t>Pengelola wisata Taman</t>
  </si>
  <si>
    <t>Aktivitas Wisata Buatan Lainnya (Sebutkan)</t>
  </si>
  <si>
    <t>Pengelola Desa Wisata Budaya</t>
  </si>
  <si>
    <t>Pengelola Wisata Sejarah dan Religi</t>
  </si>
  <si>
    <t>Pengelola Wisata Kuliner</t>
  </si>
  <si>
    <t>Pengelola Wisata Seni dan Tradisi</t>
  </si>
  <si>
    <t>Aktivitas Wisata Budaya Lainnya (Sebutkan)</t>
  </si>
  <si>
    <t>Pengelola Wisata Embung</t>
  </si>
  <si>
    <t>. Aktivitas Wisata Embung (Sebutkan)</t>
  </si>
  <si>
    <t>Terdapat Tambang Minyak Bumi</t>
  </si>
  <si>
    <t>Terdapat Tambang Gas Alam</t>
  </si>
  <si>
    <t>Terdapat Tambang Aspal</t>
  </si>
  <si>
    <t>Terdapat Tambang Batu Bara</t>
  </si>
  <si>
    <t>Terdapat Tambang Nikel</t>
  </si>
  <si>
    <t>Terdapat Tambang Bauksit</t>
  </si>
  <si>
    <t>Terdapat Tambang Tembaga</t>
  </si>
  <si>
    <t>Terdapat Tambang Belerang</t>
  </si>
  <si>
    <t>Terdapat Tambang Emas</t>
  </si>
  <si>
    <t>Terdapat Tambang Perak</t>
  </si>
  <si>
    <t>Terdapat Tambang Batu Kapur</t>
  </si>
  <si>
    <t>Terdapat Tambang Tanah Liat</t>
  </si>
  <si>
    <t>Terdapat Tambang Pasir</t>
  </si>
  <si>
    <t>Terdapat Tambang Pasir Batu</t>
  </si>
  <si>
    <t>Terdapat Tambang Batu Krikil</t>
  </si>
  <si>
    <t>Terdapat Tambang Batu Kali</t>
  </si>
  <si>
    <t>Terdapat Tambang Tanah Uruk</t>
  </si>
  <si>
    <t>Terdapat Tambang Tambang Lainnya Gol C Lainnya</t>
  </si>
  <si>
    <t>Terdapat Perkebunan Karet</t>
  </si>
  <si>
    <t>Terdapat Perkebunan Kelapa Sawit</t>
  </si>
  <si>
    <t>Terdapat Perkebunan Coklat/ Kacao</t>
  </si>
  <si>
    <t>Terdapat Perkebunan Kopi</t>
  </si>
  <si>
    <t>Terdapat Perkebunan Teh</t>
  </si>
  <si>
    <t>Terdapat Perkebunan Kina</t>
  </si>
  <si>
    <t>Terdapat Perkebunan Tebu</t>
  </si>
  <si>
    <t>Terdapat Perkebunan Tembakau</t>
  </si>
  <si>
    <t>Terdapat Perkebunan Lainnya (Sebutkan)</t>
  </si>
  <si>
    <t>Berbatasan langsung dengan laut (Tepi Laut)</t>
  </si>
  <si>
    <t>Jenis Tambang Golongan A Lainnya (Sebutkan)</t>
  </si>
  <si>
    <t>Jenis Tambang Golongan B Lainnya (Sebutkan)</t>
  </si>
  <si>
    <t>Jenis Tambang Golongan C Lainnya, Sebutkan</t>
  </si>
  <si>
    <t>Jenis Perkebunan Lainnya, Sebutkan</t>
  </si>
  <si>
    <t>Jika YA, Berapa Panjang Garis Pantai</t>
  </si>
  <si>
    <t>Status Penguasaan/Pengelolaan Perkebunan Karet</t>
  </si>
  <si>
    <t>Status Penguasaan/Pengelolaan Perkebunan Kelapa Sawit</t>
  </si>
  <si>
    <t>Status Penguasaan/Pengelolaan Perkebunan Coklat/Kakao</t>
  </si>
  <si>
    <t>Status Penguasaan/Pengelolaan Perkebunan Kopi</t>
  </si>
  <si>
    <t xml:space="preserve">Status Penguasaan/Pengelolaan Perkebunan Teh </t>
  </si>
  <si>
    <t>Status Penguasaan/Pengelolaan Perkebunan Kina</t>
  </si>
  <si>
    <t>Status Penguasaan/Pengelolaan Perkebunan Tebu</t>
  </si>
  <si>
    <t>Status Penguasaan/Pengelolaan Perkebunan Tembakau</t>
  </si>
  <si>
    <t>Jumlah Tenaga Kerja Masyarakat Desa Setempat bekerja di Pertambangan Minyak Bumi</t>
  </si>
  <si>
    <t>Jumlah Tenaga Kerja Masyarakat Desa Setempat bekerja di Pertambangan Gas Alam</t>
  </si>
  <si>
    <t>Jumlah Tenaga Kerja Masyarakat Desa Setempat bekerja di Pertambangan Aspal</t>
  </si>
  <si>
    <t>Jumlah Tenaga Kerja Masyarakat Desa Setempat bekerja di Pertambangan Batu Bara</t>
  </si>
  <si>
    <t>Jumlah Tenaga Kerja Masyarakat Desa Setempat bekerja di Pertambangan Nikel</t>
  </si>
  <si>
    <t>Jumlah Tenaga Kerja Masyarakat Desa Setempat bekerja di Pertambangan Bauksit</t>
  </si>
  <si>
    <t>Jumlah Tenaga Kerja Masyarakat Desa Setempat bekerja di Pertambangan Tembaga</t>
  </si>
  <si>
    <t>Jumlah Tenaga Kerja Masyarakat Desa Setempat bekerja di Pertambangan Belerang</t>
  </si>
  <si>
    <t>Jumlah Tenaga Kerja Masyarakat Desa Setempat bekerja di Pertambangan Emas</t>
  </si>
  <si>
    <t>Jumlah Tenaga Kerja Masyarakat Desa Setempat bekerja di Pertambangan Perak</t>
  </si>
  <si>
    <t>Jumlah Tenaga Kerja Masyarakat Desa Setempat bekerja di Pertambangan Batu Kapur</t>
  </si>
  <si>
    <t>Jumlah Tenaga Kerja Masyarakat Desa Setempat bekerja di Pertambangan Tanah Liat</t>
  </si>
  <si>
    <t>Jumlah Tenaga Kerja Masyarakat Desa Setempat bekerja di Pertambangan Pasir</t>
  </si>
  <si>
    <t>Jumlah Tenaga Kerja Masyarakat Desa Setempat bekerja di Pertambangan Batu</t>
  </si>
  <si>
    <t>Jumlah Tenaga Kerja Masyarakat Desa Setempat bekerja di Pertambangan Batu Kerikil</t>
  </si>
  <si>
    <t>Jumlah Tenaga Kerja Masyarakat Desa Setempat bekerja di Pertambangan Batu Kali</t>
  </si>
  <si>
    <t>Jumlah Tenaga Kerja Masyarakat Desa Setempat bekerja di Pertambangan Tanah Uruk</t>
  </si>
  <si>
    <t>Status Penguasaan/Pengelolaan Perkebunan Lainnya</t>
  </si>
  <si>
    <t>Status Penguasaan/Pengelolaan Tambang Minyak Bumi</t>
  </si>
  <si>
    <t>Status Penguasaan/Pengelolaan Tambang Gas Alam</t>
  </si>
  <si>
    <t>Status Penguasaan/Pengelolaan Tambang Aspal</t>
  </si>
  <si>
    <t>Status Penguasaan/Pengelolaan Tambang Batu Bara</t>
  </si>
  <si>
    <t>Status Penguasaan/Pengelolaan Tambang Nikel</t>
  </si>
  <si>
    <t>Jumlah Tenaga Kerja Masyarakat Desa Setempat bekerja di Pertambangan Lainnya</t>
  </si>
  <si>
    <t>Status Penguasaan/Pengelolaan Tambang Bauksit</t>
  </si>
  <si>
    <t>Status Penguasaan/Pengelolaan Tambang Tembaga</t>
  </si>
  <si>
    <t>Status Penguasaan/Pengelolaan Tambang Belerang</t>
  </si>
  <si>
    <t>Status Penguasaan/Pengelolaan Tambang Emas</t>
  </si>
  <si>
    <t>Status Penguasaan/Pengelolaan Tambang Perak</t>
  </si>
  <si>
    <t>Status Penguasaan/Pengelolaan Tambang Batu Kapur</t>
  </si>
  <si>
    <t>Status Penguasaan/Pengelolaan Tambang Tanah Liat</t>
  </si>
  <si>
    <t>Status Penguasaan/Pengelolaan Tambang Pasir</t>
  </si>
  <si>
    <t>Status Penguasaan/Pengelolaan Tambang Pasir Batu</t>
  </si>
  <si>
    <t>Status Penguasaan/Pengelolaan Tambang Kerikil</t>
  </si>
  <si>
    <t>Status Penguasaan/Pengelolaan Tambang Batu Kali</t>
  </si>
  <si>
    <t>Status Penguasaan/Pengelolaan Tambang Tanah Uruk</t>
  </si>
  <si>
    <t>Jumlah Produksi karet dalam 1 tahun terakhir</t>
  </si>
  <si>
    <t>Jumlah Produksi Kelapa Sawit dalam 1 Tahun terakhir</t>
  </si>
  <si>
    <t>Jumlah Produksi Kelapa Coklat/Kakao dalam 1 Tahun terakhir</t>
  </si>
  <si>
    <t>Jumlah Produksi Kopi dalam 1 Tahun terakhir</t>
  </si>
  <si>
    <t>Jumlah Produksi The dalam 1 Tahun terakhir</t>
  </si>
  <si>
    <t>Jumlah Produksi Kina dalam 1 Tahun terakhir</t>
  </si>
  <si>
    <t>Jumlah Produksi Tebu dalam 1 Tahun terakhir</t>
  </si>
  <si>
    <t>Jumlah Produksi Tembakau dalam 1 tahun terakhir</t>
  </si>
  <si>
    <t>Status Penguasaan/Pengelolaan Tambang Gol A Lainnya</t>
  </si>
  <si>
    <t>Status Penguasaan/Pengelolaan Tambang Gol B Lainnya</t>
  </si>
  <si>
    <t>Status Penguasaan/Pengelolaan Tambang Gol C  Lainnya</t>
  </si>
  <si>
    <t>Jumlah Produksi lainnya dalam 1 Tahun Terakhir</t>
  </si>
  <si>
    <t>Wilayah Tujuan Domestik/ Ekspor Perkebunan Karet</t>
  </si>
  <si>
    <t>Wilayah Tujuan Domestik/ Ekspor Hasil Perkebunan Kelapa Sawit</t>
  </si>
  <si>
    <t>Wilayah Tujuan Domestik/ Ekspor Hasil Perkebunan Coklat/Kakao</t>
  </si>
  <si>
    <t>Wilayah Tujuan Domestik/ Ekspor Hasil Perkebunan Kopi</t>
  </si>
  <si>
    <t>Wilayah Tujuan Domestik/ Ekspor Hasil Perkebunan Teh</t>
  </si>
  <si>
    <t>Wilayah Tujuan Domestik/ Ekspor Hasil Perkebunan Kina</t>
  </si>
  <si>
    <t>Wilayah Tujuan Domestik/ Ekspor Hasil Perkebunan Tebu</t>
  </si>
  <si>
    <t>Wilayah Tujuan Domestik/ Ekspor Hasil Perkebunan Tembakau</t>
  </si>
  <si>
    <t>Tujuan Pasar Perdagangan Hasil Panen Perkebunan Lainnya</t>
  </si>
  <si>
    <t>Wilayah Tujuan Domestik/ Ekspor Hasil Perkebunan Lainya</t>
  </si>
  <si>
    <t>Tujuan Pasar Perdagangan Hasil Panen Perkebunan Coklat/Kakao</t>
  </si>
  <si>
    <t>Tujuan Pasar Perdagangan Hasil Panen Perkebunan Kopi</t>
  </si>
  <si>
    <t>Tujuan Pasar Perdagangan Hasil Panen Perkebunan Teh</t>
  </si>
  <si>
    <t>Tujuan Pasar Perdagangan Hasil Panen Perkebunan Kina</t>
  </si>
  <si>
    <t>Tujuan Pasar Perdagangan Hasil Panen Perkebunan Tebu</t>
  </si>
  <si>
    <t>Tujuan Pasar Perdagangan Hasil Panen Perkebunan Tembakau</t>
  </si>
  <si>
    <t xml:space="preserve"> </t>
  </si>
  <si>
    <t>B</t>
  </si>
  <si>
    <t>Jumlah Penduduk Usia &lt;3 tahun</t>
  </si>
  <si>
    <t>Jumlah Penduduk Usia &gt;59 tahun keatas</t>
  </si>
  <si>
    <t>Jumlah Penduduk Usia &gt;3-6 tahun</t>
  </si>
  <si>
    <t>Jumlah Penduduk Usia &gt;=13-15 tahun</t>
  </si>
  <si>
    <t>Jumlah Penduduk Usia &gt;=16-18 tahun</t>
  </si>
  <si>
    <t>Jumlah Penduduk Usia &gt;=19-59 tahun</t>
  </si>
  <si>
    <t>Jumlah Penduduk Usia &gt;=&gt;7-12 tahun</t>
  </si>
  <si>
    <t>Jumlah Pos PAUD Pemerintah</t>
  </si>
  <si>
    <t>Jumlah Pos PAUD Non Pemerintah</t>
  </si>
  <si>
    <t>Jarak ke Pos PAUD terdekat</t>
  </si>
  <si>
    <t>Waktu tempuh untuk menuju ke PAUD terdekat</t>
  </si>
  <si>
    <t>Total Pos PAUD di Desa</t>
  </si>
  <si>
    <t>B1</t>
  </si>
  <si>
    <t>B 101</t>
  </si>
  <si>
    <t>Jumlah SMU / MA/ SMK di Desa</t>
  </si>
  <si>
    <t>Jarak ke SMU / MA / SMK  terdekat</t>
  </si>
  <si>
    <t>Waktu tempuh untuk menuju ke SMU / MA / SMK terdekat</t>
  </si>
  <si>
    <t>Sarana kesehatan terdekat</t>
  </si>
  <si>
    <t>Jarak ke sarana kesehatan terdekat</t>
  </si>
  <si>
    <t>Waktu tempuh untuk menuju ke sarana kesehatan terdekat</t>
  </si>
  <si>
    <t>Transportasi Umum (Bus, Angkot, dll)</t>
  </si>
  <si>
    <t>Mobil Pribadi</t>
  </si>
  <si>
    <t>Motor</t>
  </si>
  <si>
    <t>Perahu</t>
  </si>
  <si>
    <t>Lainnya, Sebutkan</t>
  </si>
  <si>
    <t>Ketersediaan sarana Poskesdes/ Polindes</t>
  </si>
  <si>
    <t>Jarak ke Poskesdes/Polindes terdekat</t>
  </si>
  <si>
    <t xml:space="preserve">Waktu tempuh untuk menuju ke Poskesdes/ Polindes terdekat </t>
  </si>
  <si>
    <t>Puskesmas</t>
  </si>
  <si>
    <t>Tempat Praktik Dokter</t>
  </si>
  <si>
    <t>Tempat Praktik Bidan</t>
  </si>
  <si>
    <t>Ketersediaan sarana Tempat Praktek Bidan di Desa</t>
  </si>
  <si>
    <t>Jika ada Lainnya, (Sebutkan)</t>
  </si>
  <si>
    <t>Ketersediaan Layanan tenaga kesehatan bidan Desa (BDD)</t>
  </si>
  <si>
    <t>Ketersediaan Layanan tenaga kesehatan lainnya selain dokter dan bidan di Desa</t>
  </si>
  <si>
    <t>B2</t>
  </si>
  <si>
    <t>B 201</t>
  </si>
  <si>
    <t>Jumlah warga yang terdaftar menjadi peserta BPJS Kesehatan/ Jaminan Kesehatan Nasional/ Kartu Indonesia Sehat (KIS)</t>
  </si>
  <si>
    <t>Air minum warga di Desa bersumber dari air ledeng (Perpipaan) dengan meteran (PAM/PDAM)</t>
  </si>
  <si>
    <t>Air minum warga di Desa bersumber dari sumur bor / pompa</t>
  </si>
  <si>
    <t>Air minum warga di Desa bersumber dari sumur</t>
  </si>
  <si>
    <t>Air minum warga di Desa bersumber dari mata air</t>
  </si>
  <si>
    <t>Air minum warga di Desa bersumber dari air hujan</t>
  </si>
  <si>
    <t>D</t>
  </si>
  <si>
    <t>energi Matahari/ PLTS</t>
  </si>
  <si>
    <t>energi Angin</t>
  </si>
  <si>
    <t>energi BioDiesel</t>
  </si>
  <si>
    <t>energi Biogas</t>
  </si>
  <si>
    <t>energi Bahan Bakar Hayati/nabati/organik Cair</t>
  </si>
  <si>
    <t>energi Microhydro</t>
  </si>
  <si>
    <t>energi Tenaga Panas Bumi</t>
  </si>
  <si>
    <t>energi Tenaga Pasang Surut</t>
  </si>
  <si>
    <t>energi Tenaga Arus Laut</t>
  </si>
  <si>
    <r>
      <t xml:space="preserve">Operator / </t>
    </r>
    <r>
      <rPr>
        <i/>
        <sz val="11"/>
        <color rgb="FF000000"/>
        <rFont val="Calibri"/>
        <family val="2"/>
        <scheme val="minor"/>
      </rPr>
      <t>provider</t>
    </r>
    <r>
      <rPr>
        <sz val="11"/>
        <color rgb="FF000000"/>
        <rFont val="Calibri"/>
        <family val="2"/>
        <scheme val="minor"/>
      </rPr>
      <t xml:space="preserve"> telepon seluler Telkomsel dapat menerima sinyal</t>
    </r>
  </si>
  <si>
    <r>
      <t xml:space="preserve">Operator / </t>
    </r>
    <r>
      <rPr>
        <i/>
        <sz val="11"/>
        <color rgb="FF000000"/>
        <rFont val="Calibri"/>
        <family val="2"/>
        <scheme val="minor"/>
      </rPr>
      <t>provider</t>
    </r>
    <r>
      <rPr>
        <sz val="11"/>
        <color rgb="FF000000"/>
        <rFont val="Calibri"/>
        <family val="2"/>
        <scheme val="minor"/>
      </rPr>
      <t xml:space="preserve"> telepon seluler Indosat dapat menerima sinyal</t>
    </r>
  </si>
  <si>
    <r>
      <t xml:space="preserve">Operator / </t>
    </r>
    <r>
      <rPr>
        <i/>
        <sz val="11"/>
        <color rgb="FF000000"/>
        <rFont val="Calibri"/>
        <family val="2"/>
        <scheme val="minor"/>
      </rPr>
      <t>provider</t>
    </r>
    <r>
      <rPr>
        <sz val="11"/>
        <color rgb="FF000000"/>
        <rFont val="Calibri"/>
        <family val="2"/>
        <scheme val="minor"/>
      </rPr>
      <t xml:space="preserve"> telepon seluler XL dapat menerima sinyal</t>
    </r>
  </si>
  <si>
    <r>
      <t xml:space="preserve">Operator / </t>
    </r>
    <r>
      <rPr>
        <i/>
        <sz val="11"/>
        <color rgb="FF000000"/>
        <rFont val="Calibri"/>
        <family val="2"/>
        <scheme val="minor"/>
      </rPr>
      <t>provider</t>
    </r>
    <r>
      <rPr>
        <sz val="11"/>
        <color rgb="FF000000"/>
        <rFont val="Calibri"/>
        <family val="2"/>
        <scheme val="minor"/>
      </rPr>
      <t xml:space="preserve"> telepon seluler Axis dapat menerima sinyal</t>
    </r>
  </si>
  <si>
    <r>
      <t xml:space="preserve">Operator / </t>
    </r>
    <r>
      <rPr>
        <i/>
        <sz val="11"/>
        <color rgb="FF000000"/>
        <rFont val="Calibri"/>
        <family val="2"/>
        <scheme val="minor"/>
      </rPr>
      <t>provider</t>
    </r>
    <r>
      <rPr>
        <sz val="11"/>
        <color rgb="FF000000"/>
        <rFont val="Calibri"/>
        <family val="2"/>
        <scheme val="minor"/>
      </rPr>
      <t xml:space="preserve"> telepon seluler Smartfren dapat menerima sinyal</t>
    </r>
  </si>
  <si>
    <t>C</t>
  </si>
  <si>
    <t>C1</t>
  </si>
  <si>
    <t>C 101</t>
  </si>
  <si>
    <t>Gotong royong Sosial</t>
  </si>
  <si>
    <t>Gotong royong Lingkungan</t>
  </si>
  <si>
    <t>Gotong royong Ekonomi</t>
  </si>
  <si>
    <t>Kegiatan Sepak Bola</t>
  </si>
  <si>
    <t>Kegiatan Voli</t>
  </si>
  <si>
    <t>Kegiatan Bulutangkis</t>
  </si>
  <si>
    <t>Kegiatan Basket</t>
  </si>
  <si>
    <t>KegiatanTenis Lapangan</t>
  </si>
  <si>
    <t>Kegiatan Futsal</t>
  </si>
  <si>
    <t>Kegiatan Renang</t>
  </si>
  <si>
    <t>Kegiatan Tenis Meja</t>
  </si>
  <si>
    <t>Kejadian Konflik antarkelompok masyarakat</t>
  </si>
  <si>
    <t>Kejadian Konflik kelompok masyarakat antar Desa</t>
  </si>
  <si>
    <t>Kejadian Konflik antara kelompok masyarakat dengan aparat keamanan</t>
  </si>
  <si>
    <t>Kejadian Konflik antara kelompok masyarakat dengan aparat pemerintah</t>
  </si>
  <si>
    <t>Kejadian Konflik antarpelajar/ mahasiswa/pemuda</t>
  </si>
  <si>
    <t>Kejadian Konflik antar suku</t>
  </si>
  <si>
    <t>Kejadian Konflik antar agama</t>
  </si>
  <si>
    <t>Terdapat konflik di Desa</t>
  </si>
  <si>
    <t>Terdapat Konflik di Desa Terkait Lahan</t>
  </si>
  <si>
    <t>Jumlah kejadian Konflik antarkelompok masyarakat terkait lahan dalam 1 tahun terakhir</t>
  </si>
  <si>
    <t>Jumlah kejadian Konflik kelompok masyarakat antar Desa terkait lahan  dalam 1 tahun terakhir</t>
  </si>
  <si>
    <t>Jumlah kejadian Konflik antara kelompok masyarakat dengan aparat keamanan terkait lahan  dalam 1 tahun terakhir</t>
  </si>
  <si>
    <t>Jumlah kejadian Konflik antara kelompok masyarakat dengan aparat pemerintah terkait lahan  dalam 1 tahun terakhir</t>
  </si>
  <si>
    <t>Jumlah kejadian Konflik antara kelompok masyarakat dengan pihak lainnya terkait lahan  dalam 1 tahun terakhir</t>
  </si>
  <si>
    <t>Jumlah Kejadian Konflik terkait lahan</t>
  </si>
  <si>
    <t>Penyelesaian Konflik secara damai</t>
  </si>
  <si>
    <t>Peranan aparat keamanan menjadi mediator / penengah dalam penyelesaian Konflik massal</t>
  </si>
  <si>
    <t>Peranan aparat pemerintah menjadi mediator / penengah dalam penyelesaian Konflik massal</t>
  </si>
  <si>
    <t>Peranan tokoh masyarakat menjadi mediator / penengah dalam penyelesaian Konflik massal</t>
  </si>
  <si>
    <t>Peranan tokoh agama menjadi mediator / penengah dalam penyelesaian Konflik massal</t>
  </si>
  <si>
    <t>C2</t>
  </si>
  <si>
    <t>Ketersediaan fasilitas perpustakaan Desa / taman bacaan masyarakat di Desa</t>
  </si>
  <si>
    <t>C 201</t>
  </si>
  <si>
    <t>Lapangan Sepak Bola</t>
  </si>
  <si>
    <t>Lapangan Voli</t>
  </si>
  <si>
    <t>Lapangan Bulutangkis</t>
  </si>
  <si>
    <t>Lapangan Basket</t>
  </si>
  <si>
    <t>Tenis Lapangan</t>
  </si>
  <si>
    <t>Lapangan Futsal</t>
  </si>
  <si>
    <t>Kolam Renang</t>
  </si>
  <si>
    <t>Tenis Meja</t>
  </si>
  <si>
    <t>Taman Desa</t>
  </si>
  <si>
    <t>Jalur Hijau Sepanjang Jalan/Sungai/Danau di desa</t>
  </si>
  <si>
    <t>Hutan Desa</t>
  </si>
  <si>
    <t>Pelataran</t>
  </si>
  <si>
    <t>Landmark</t>
  </si>
  <si>
    <t>D1</t>
  </si>
  <si>
    <t>D 101</t>
  </si>
  <si>
    <t>D2</t>
  </si>
  <si>
    <t>D 201</t>
  </si>
  <si>
    <t>Ketersediaan kelompok pertokoan di Desa</t>
  </si>
  <si>
    <t>Terdapat hotel / penginapan di Desa</t>
  </si>
  <si>
    <t xml:space="preserve">Jarak ke hotel / penginapan terdekat </t>
  </si>
  <si>
    <t>Waktu tempuh menuju hotel / penginapan terdekat</t>
  </si>
  <si>
    <t>Terdapat BUMDesa</t>
  </si>
  <si>
    <t>Keikutsertaan Desa Terhadap BUMDesa Bersama</t>
  </si>
  <si>
    <t>Nomor sertifikat BUM Desa Bersama tersebut</t>
  </si>
  <si>
    <t>Ketersediaan KUD</t>
  </si>
  <si>
    <t>Ketersediaan UMKM</t>
  </si>
  <si>
    <t>Hari operasional layanan perbankan</t>
  </si>
  <si>
    <t>Terdapat Layanan Fasilitas Kredit Berupa KUR</t>
  </si>
  <si>
    <t xml:space="preserve">Terdapat Layanan Fasilitas Kredit Berupa KKP-E </t>
  </si>
  <si>
    <t xml:space="preserve">Terdapat Layanan Fasilitas Kredit Berupa KUK </t>
  </si>
  <si>
    <t>E</t>
  </si>
  <si>
    <t>E1</t>
  </si>
  <si>
    <t>E 101</t>
  </si>
  <si>
    <t>E2</t>
  </si>
  <si>
    <t>E 201</t>
  </si>
  <si>
    <t>Kejadian Bencana Tanah Longsor dalam Setahun Terakhir</t>
  </si>
  <si>
    <t>Kejadian Bencana Banjir dalam Setahun Terakhir</t>
  </si>
  <si>
    <t>Kejadian Bencana Gempa Bumi dalam Setahun Terakhir</t>
  </si>
  <si>
    <t>Kejadian Bencana Tsunami dalam Setahun Terakhir</t>
  </si>
  <si>
    <t>Kejadian Bencana Gelombang Pasang Laut dalam Setahun Terakhir</t>
  </si>
  <si>
    <t>Kejadian Bencana Angin Puyuh / Puting Beliung / Topan dalam Setahun Terakhir</t>
  </si>
  <si>
    <t>Kejadian Bencana Gunung Meletus dalam Setahun Terakhir</t>
  </si>
  <si>
    <t>Kejadian Bencana Kebakaran Hutan dalam Setahun Terakhir</t>
  </si>
  <si>
    <t>Kejadian Bencana Kekeringan Lahan dalam Setahun Terakhir</t>
  </si>
  <si>
    <t>Kejadian Bencana luar biasa/non-alam seperti pandemi, endemi, dll</t>
  </si>
  <si>
    <t>Terdapat Fasilitas Mitigasi Bencana Alam di Desa Berupa  Peringatan Dini Bencana</t>
  </si>
  <si>
    <t>Terdapat Fasilitas Mitigasi Bencana Alam di Desa Berupa Perlengkapan Keselamatan</t>
  </si>
  <si>
    <t>F</t>
  </si>
  <si>
    <t>F1</t>
  </si>
  <si>
    <t>F 101</t>
  </si>
  <si>
    <t>Jalan Nasional</t>
  </si>
  <si>
    <t>Jalan Provinsi</t>
  </si>
  <si>
    <t>Jalan Kabupaten</t>
  </si>
  <si>
    <t>F2</t>
  </si>
  <si>
    <t>F 201</t>
  </si>
  <si>
    <t>Angkutan Umum Pedesaan</t>
  </si>
  <si>
    <t>Taksi</t>
  </si>
  <si>
    <t>Ojek Pangkalan</t>
  </si>
  <si>
    <t>Becak</t>
  </si>
  <si>
    <t>Bentor</t>
  </si>
  <si>
    <t>Kapal</t>
  </si>
  <si>
    <t>Transportasi Online roda di Desa</t>
  </si>
  <si>
    <t>A2</t>
  </si>
  <si>
    <t>A 201</t>
  </si>
  <si>
    <t>hasil usaha</t>
  </si>
  <si>
    <t>hasil aset</t>
  </si>
  <si>
    <t>hasil swadaya, partisipasi dan gotong royong</t>
  </si>
  <si>
    <t>PADes lainnya</t>
  </si>
  <si>
    <t>Desa memiliki Aset berupa Tanah Desa</t>
  </si>
  <si>
    <t>Desa memiliki Aset berupa Kantor Desa</t>
  </si>
  <si>
    <t>Desa memiliki Aset berupa Pasar Desa</t>
  </si>
  <si>
    <t>Desa memiliki Aset Lainnya</t>
  </si>
  <si>
    <t>IDENTITAS DESA</t>
  </si>
  <si>
    <t>NO</t>
  </si>
  <si>
    <t>PERTANYAAN</t>
  </si>
  <si>
    <t>HASIL PENDATAAN INDEKS DESA</t>
  </si>
  <si>
    <t>INTERVENSI KEGIATAN</t>
  </si>
  <si>
    <t>KODE REKENING</t>
  </si>
  <si>
    <t xml:space="preserve">Rp </t>
  </si>
  <si>
    <t>PELAKSANA KEGIATAN</t>
  </si>
  <si>
    <t>PUSAT</t>
  </si>
  <si>
    <t>PROVINSI</t>
  </si>
  <si>
    <t>KABUPATEN</t>
  </si>
  <si>
    <t>DESA</t>
  </si>
  <si>
    <t>1.A</t>
  </si>
  <si>
    <t>AKSES TERHADAP PAUD/TK/Sederajat</t>
  </si>
  <si>
    <t>SKOR Keberadaan PAUD/TK/Sederajat di Desa</t>
  </si>
  <si>
    <t>Kemendikbud, Kemendagri, Kementerian PUPR</t>
  </si>
  <si>
    <t>Dinas PMD, Dinas Dikbud, Dinas PUPR</t>
  </si>
  <si>
    <t>Dinas Dikbud, Dinas PMD, Dinas PUPR</t>
  </si>
  <si>
    <t>Desa</t>
  </si>
  <si>
    <t>SKOR Kemudahan Akses menuju PAUD/TK/Sederajat terdekat di Desa</t>
  </si>
  <si>
    <t>SKOR Angka Partisipasi Murni (APM) anak usia 3 - 6 tahun yang bersekolah PAUD/TK/Sederajat di desa</t>
  </si>
  <si>
    <t>AKSES TERHADAP SD/MI/Sederajat</t>
  </si>
  <si>
    <t>SKOR Kemudahan Akses menuju SD/MI/Sederajat terdekat di Desa</t>
  </si>
  <si>
    <t>SKOR Angka Partisipasi Murni (APM)  anak usia 7-12 tahun yang bersekolah SD/MI/Sederajat di desa</t>
  </si>
  <si>
    <t>AKSES TERHADAP SMP/MTs/Sederajat</t>
  </si>
  <si>
    <t>SKOR Kemudahan Akses menuju SMP/MTs/Sederajat terdekat di Desa</t>
  </si>
  <si>
    <t>Dinas PMD, Dinas PUPR</t>
  </si>
  <si>
    <t>SKOR Angka Partisipasi Murni (APM)  anak usia 13-15 tahun yang bersekolah SMP/MTs/Sederajat di desa</t>
  </si>
  <si>
    <t>AKSES TERHADAP SMA/SMK/MA/MAK/Sederajat</t>
  </si>
  <si>
    <t>SKOR Kemudahan Akses menuju SMA/SMK/MA/MAK/Sederajat terdekat di Desa</t>
  </si>
  <si>
    <t>SKOR Angka Partisipasi Murni (APM)  anak usia 16-18 tahun yang bersekolah SMA/SMK/MA/MAK/Sederajat di desa</t>
  </si>
  <si>
    <t>1.B</t>
  </si>
  <si>
    <t>SKOR Kemudahan akses menuju Sarana Kesehatan</t>
  </si>
  <si>
    <t>Kemenkes, Kemen PUPR</t>
  </si>
  <si>
    <t>Dinas PUPR</t>
  </si>
  <si>
    <t>Dinas Kesehatan, DPMD, Dinas PUPR</t>
  </si>
  <si>
    <t>Fasilitas Puskesmas Pembantu (Pustu)</t>
  </si>
  <si>
    <t>SKOR Keberadaan Fasilitas Puskesmas Pembantu (Pustu) termasuk  Poskesdes/Polindes di Desa</t>
  </si>
  <si>
    <t>SKOR Kemudahan akses menuju Fasilitas Puskesmas Pembantu (Pustu) termasuk Kesehatan Poskesdes/Polindes</t>
  </si>
  <si>
    <t>SKOR Ketersediaan Fasilitas Posyandu di Desa</t>
  </si>
  <si>
    <t>SKOR Keberadaan Aktivitas Posyandu</t>
  </si>
  <si>
    <t>Pemdes</t>
  </si>
  <si>
    <t>SKOR Kemudahan akses menuju Fasilitas Posyandu</t>
  </si>
  <si>
    <t>SKOR Ketersediaan layanan dokter di desa</t>
  </si>
  <si>
    <t>SKOR Operasional ketersediaan layanan dokter di desa</t>
  </si>
  <si>
    <t>SKOR Penyedia layanan dokter di desa</t>
  </si>
  <si>
    <t>SKOR Keberadaan Penyedia Transportasi penunjang menuju layanan Dokter</t>
  </si>
  <si>
    <t>SKOR Ketersediaan layanan Bidan di Desa</t>
  </si>
  <si>
    <t>SKOR Operasional ketersediaan layanan Bidan di desa</t>
  </si>
  <si>
    <t>SKOR Penyedia layanan Bidan di desa</t>
  </si>
  <si>
    <t>SKOR Keberadaan Penyedia Transportasi penunjang menuju layanan Bidan</t>
  </si>
  <si>
    <t>SKOR Ketersediaan layanan Tenaga Kesehatan di Desa</t>
  </si>
  <si>
    <t>SKOR Operasional ketersediaan layanan Tenaga Kesehatan di desa</t>
  </si>
  <si>
    <t>SKOR Penyedia layanan Tenaga Kesehatan di desa</t>
  </si>
  <si>
    <t>SKOR Keberadaan Penyedia Transportasi penunjang menuju layanan Nakes</t>
  </si>
  <si>
    <t>SKOR Persentase keanggotaan BPJS</t>
  </si>
  <si>
    <t>SKOR Keberadaan kegiatan sosialisasi dan/atau advokasi terkait program jaminan kesehatan nasional di desa</t>
  </si>
  <si>
    <t>Rumah Tangga dengan Air Minum Aman</t>
  </si>
  <si>
    <t>SKOR Operasional Ketersediaan Air Minum di Desa dalam seminggu</t>
  </si>
  <si>
    <t>PAMSIMAS, PU</t>
  </si>
  <si>
    <t>Dinas PUPR, Dinas Kesehatan, DPMD, PDAM</t>
  </si>
  <si>
    <t>SKOR Ketersediaan Air Minum untuk warga desa</t>
  </si>
  <si>
    <t>SKOR Kemudahan akses Air Minum untuk warga di desa</t>
  </si>
  <si>
    <t>SKOR Kualitas Air Minum di Desa (Tidak untuk Berbau, Berwarna, &amp; Berasa)</t>
  </si>
  <si>
    <t>SKOR Persentase Rumah Tidak Layak Huni</t>
  </si>
  <si>
    <t>Kearifan Sosial/Budaya dan Keagamaan</t>
  </si>
  <si>
    <t>SKOR Keberadaan kearifan budaya/sosial/keagamaan yang ada/menjadi ciri khas desa</t>
  </si>
  <si>
    <t>Kemendesa PDT, Kemendikbudristek, Kemenag, Kemenparekraf</t>
  </si>
  <si>
    <t>Dinas PMD, Dians Pariwisata</t>
  </si>
  <si>
    <t>Dinas PMD, Dinas Pariwisata</t>
  </si>
  <si>
    <t>Pemdes, Lembaga Adat, Karang Taruna</t>
  </si>
  <si>
    <t>SKOR Jumlah Kearifan budaya/sosial yang masih dipertahankan/dilestarikan</t>
  </si>
  <si>
    <t>Dinas PMD, Dians Pariwisata, Dinas Pendidikan dan Kebudayaan</t>
  </si>
  <si>
    <t>Pemdes, Lembaga Adat, Kelompok Seni, Karang Taruna</t>
  </si>
  <si>
    <t>SKOR Keberadaan kegiatan gotong royong di Desa</t>
  </si>
  <si>
    <t>Kemendagri, Kemendesa PDT, Kemensos</t>
  </si>
  <si>
    <t>Dinas PMD, Dinas Sosial</t>
  </si>
  <si>
    <t>Lembaga Kemasyarakatan Desa (LPMD/RT/RW), Pemdes, Karang Taruna</t>
  </si>
  <si>
    <t>SKOR Frekuensi Kegiatan Gotong Royong di desa</t>
  </si>
  <si>
    <t>Lembaga Kemasyarakatan Desa (LPMD/RT/RW), Pemdes, Karang Taruna, Kelompok Pemuda</t>
  </si>
  <si>
    <t>SKOR Keterlibatan warga dalam kegiatan gotong royong</t>
  </si>
  <si>
    <t>SKOR Frekuensi Aktivitas Kegiatan Olahraga dilakukan dalam satu bulan</t>
  </si>
  <si>
    <t>Kemenpora, Kemendesa,Koni, Lembaga Olah Raga nasional</t>
  </si>
  <si>
    <t>Dispora, Dinkes</t>
  </si>
  <si>
    <t>Pemdes, karang Taruna, PKK</t>
  </si>
  <si>
    <t>Klub Olahraga,Pusat Studi Olah Raga, kampus</t>
  </si>
  <si>
    <t>SKOR Penyelesaian Konflik secara damai</t>
  </si>
  <si>
    <t>Kemendagri, kemenkum dan HAM, kemenkopolhukam, BIN, Kepolisian, TNI</t>
  </si>
  <si>
    <t>Kesbangpol,Dinas Kominfo, Dinas Sosial</t>
  </si>
  <si>
    <t>Kesbangpol,Dinas Kominfo, Dinas Kesejahteraan Sosial, Dinas PMD</t>
  </si>
  <si>
    <t>Lembaga Kemasyarakatan Desa (LPMD/RT/RW), Pemdes, Karang Taruna, Kelompok Pemuda, Tokoh Masyarakat dan Adat</t>
  </si>
  <si>
    <t>Fasilitator Mediasi Akademis, Kampus</t>
  </si>
  <si>
    <t>SKOR Peranan aparat keamanan menjadi mediator / penengah dalam penyelesaian Konflik</t>
  </si>
  <si>
    <t>Kemenko Polhukam, Kemendagri, Kemenhan, Polri, TNI</t>
  </si>
  <si>
    <t>Satpol PP,Dinsos, Forkopinda</t>
  </si>
  <si>
    <t>pemdes, LKS, Lembaga Mediasi Swasta</t>
  </si>
  <si>
    <t>Akademisi, Pakar Konsflik dan Perdamaian</t>
  </si>
  <si>
    <t>SKOR Peranan aparat pemerintah menjadi mediator / penengah dalam penyelesaian Konflik</t>
  </si>
  <si>
    <t>Kemendagri, Kemendesa PDTT, Kemenko Polhukam, Kemenkumham, BNPB, Lemhannas, BPN</t>
  </si>
  <si>
    <t>Kesbangpol, Dinas PMD</t>
  </si>
  <si>
    <t>Kesbangpol, Dinas PMD, Dinsos</t>
  </si>
  <si>
    <t>Pemdes, BPD</t>
  </si>
  <si>
    <t>LSM, Akademisi, Pusat Studi konflik</t>
  </si>
  <si>
    <t>SKOR Peranan tokoh masyarakat menjadi mediator / penengah dalam penyelesaian Konflik</t>
  </si>
  <si>
    <t>Kemendagri, Kemendesa PDTT,Kemenag, Kemenko PMK, BNPT, LIPI, MUI</t>
  </si>
  <si>
    <t>Dinas PMD, Dinas Pariwisata, Kesbangpol</t>
  </si>
  <si>
    <t>Dinas PMD, Dinsos, Dinas pendidikan</t>
  </si>
  <si>
    <t>LSM, Akademisi, Pusat Kajian Konflik dan Perdamaian</t>
  </si>
  <si>
    <t>SKOR Peranan tokoh agama menjadi mediator / penengah dalam penyelesaian Konflik</t>
  </si>
  <si>
    <t>Kemenag, Kemenko PMK, Kemendagri, MUI, Konferensi Waligereja Indonesia, BNPT</t>
  </si>
  <si>
    <t>Kesbangpol, Dinsos, Dinas PMD,</t>
  </si>
  <si>
    <t>Kesbangpol, Dinsos, Dinas PMD, Dias Dikbud</t>
  </si>
  <si>
    <t xml:space="preserve">Pemdes, BPD, </t>
  </si>
  <si>
    <t>LSM Keagamaan, Swasta, Akademisi, Pusat Studi Agama dan Perdamaian</t>
  </si>
  <si>
    <t>SKOR Keberadaan Satuan Keamanan Lingkungan (Satkamling) di Desa</t>
  </si>
  <si>
    <t>Kemendagri, Kemenko Polhukam, Kemendesa PDTT, Polri, BNPT,BIN</t>
  </si>
  <si>
    <t>Kesbangpol, Dinas PMD,Forkopinda</t>
  </si>
  <si>
    <t>Pemdes, BPD, RT/RW</t>
  </si>
  <si>
    <t>Akademisi, Pusat Studi Keamanan</t>
  </si>
  <si>
    <t>SKOR Aktivitas Satuan Keamanan Lingkungan (Satkamling) di Desa</t>
  </si>
  <si>
    <t>Kemendagri, Kemendesa PDTT, Kemenko Polhukam, Polri, TNI, BNPT, BIN</t>
  </si>
  <si>
    <t>Pemdes, BPD, RT/RW, Tokoh Masyarakat</t>
  </si>
  <si>
    <t>SKOR Keberadaan Taman Bacaan Masyarakat/ Perpustakaan Desa</t>
  </si>
  <si>
    <t>Kemendibudristek, Kemendagri, Kemendesa PDTT, Perpustakaan nasional, Bakti-Kominfo, Badan pengembangan dan Pembinaan Bahasa</t>
  </si>
  <si>
    <t>Dinas perpustakaan dan Kearsipan, Dinas Dikbud, Diskominfo</t>
  </si>
  <si>
    <t>Dinas perpustakaan dan Kearsipan, Dinas Dikbud, Diskominfo, Dinas PMD</t>
  </si>
  <si>
    <t>Pemdes, Karang Taruna, RT, RW, Kader Literasi Desa</t>
  </si>
  <si>
    <t>Swasta, LSM, Akademisi, Pusat Studi Literasi, Mahasiswa</t>
  </si>
  <si>
    <t>SKOR Operasional Taman Bacaan Masyarakat/ Perpustakaan Desa</t>
  </si>
  <si>
    <t>Kemendikbudristek, Kemendagri, Kemendesa PDTT, Perpusnas, Bakti-Kominfo, Badan pengembangan dan pembinaan bahasa</t>
  </si>
  <si>
    <t>SKOR Ketersediaan Fasilitas dan kondisi/keadaan sebagian besar Fasilitas olahraga di Desa</t>
  </si>
  <si>
    <t xml:space="preserve">Kemenpora, Kemendesa PDTT, KONI, Lembaga Pengelola Dana Hibah, </t>
  </si>
  <si>
    <t>Dispora, Dinas PU, Dinas Kesehatan</t>
  </si>
  <si>
    <t>Dispora, Dinas PUPR, Dinas Kesehatan, Dinas Pariwisata</t>
  </si>
  <si>
    <t>Pemdes, Karang Taruna, kelompok Pemuda, BPD</t>
  </si>
  <si>
    <t>Swasta, Akademisi, Pusat Penelitian dan Pengembangan Olahraga</t>
  </si>
  <si>
    <t>SKOR Keberadaan ruang publik terbuka/keadaan sebagian besar Fasilitas Ruang Publik Terbuka di Desa</t>
  </si>
  <si>
    <t>KemenPUPR, Kemendesa PDTT, KLHK, Bappenas, Badan Pengelola Dana Lingkungan Hidup, LSM</t>
  </si>
  <si>
    <t>Dinas PUPR, DLH,</t>
  </si>
  <si>
    <t>Swasta, Akademisi, Badan Penelitian tata Kota dan Lingkungan</t>
  </si>
  <si>
    <t>SKOR Keragaman Aktivitas Ekonomi di Desa</t>
  </si>
  <si>
    <t>Kemendesa PDTT, Kemenkop UKM, Kemendag, Kementan, Kemenparekraf, LPDB, BUMN, Lembaga Penelitian dan Pengembangan</t>
  </si>
  <si>
    <t>Dinas Kop dan UMKM, Dinas Perindag</t>
  </si>
  <si>
    <t>Dinas Koperasi dan UMKM, Dinas Perindag, Dinas Parekraf</t>
  </si>
  <si>
    <t>Pemdes, BPD, Kelompok Tani, Nelayan dan Pengrajin Desa</t>
  </si>
  <si>
    <t>Swasta, Koperasi, Bumdes, Akademisi, Pusat Penelitian Ekonomi dan Desa</t>
  </si>
  <si>
    <t>SKOR Keaktifan Aktivitas Ekonomi di Desa</t>
  </si>
  <si>
    <t>Kemendesa PDTT, Kemenkop &amp; UMKM, Kementan, Kemendag, BUMN, Lembaga Penelitian Ekonomi dan Kebijakan Publik, Lembaga Keuangan dan Bank BUMN</t>
  </si>
  <si>
    <t>Dinas Kop dan UMKM, Dinas Perindag, Dinas Pariwisata</t>
  </si>
  <si>
    <t>Dinas Koperasi dan UMKM, Dinas Pertanian, Dinas Pariwisata dan kebudayaan, Dinas Tenaga Kerja</t>
  </si>
  <si>
    <t xml:space="preserve">Pemdes, BPD, Kelompok Tani, Pengrajin Desa, </t>
  </si>
  <si>
    <t>Swasta, Akademisi, Pusat Penelitian Ekonomi dan Sosial</t>
  </si>
  <si>
    <t>SKOR Keberadaan Produk Unggulan Desa</t>
  </si>
  <si>
    <t>Kemendesa PDTT, Kementan, Kemenperin, Kemenkop UKM, Kemenparekraf, Kemendag, BPS, BUMN, LIPI, Brin</t>
  </si>
  <si>
    <t>Dinas pMD, Disperindag, Dinas Pertanian dan Ketahanan Pangan, Dinas pariwisata dan Kebudayaan</t>
  </si>
  <si>
    <t xml:space="preserve">Pemdes, Bumdes, </t>
  </si>
  <si>
    <t>Akademisi, Pusat Penelitian dan Inovasi Universitas</t>
  </si>
  <si>
    <t>SKOR Cakupan Penjualan Hasil Produk Unggulan Desa</t>
  </si>
  <si>
    <t>Kemendesa PDTT, Kementan, Kemenperin, Kemendag, BPS, BKPM</t>
  </si>
  <si>
    <t>Dinas Koperasi dan UMKM, Dinas Perdagangan, Dinas Pertanian</t>
  </si>
  <si>
    <t>Dinas pMD, Disperindag</t>
  </si>
  <si>
    <t>Pemdes, Bumdes, Kelompok Tani, Kelompok Usaha</t>
  </si>
  <si>
    <t>Swasta, Akademisi</t>
  </si>
  <si>
    <t>SKOR Ketersediaan merek dagang</t>
  </si>
  <si>
    <t>Kemenkumham, Kemendesa PDTT, Kemendag, Kemenperin, BSN, Lembaga Pengkajian dan Pengembangan</t>
  </si>
  <si>
    <t>Disperindag, Dinas Koperasi dan UKM</t>
  </si>
  <si>
    <t>Disperindag, Dinas PMD</t>
  </si>
  <si>
    <t>SKOR Keberadaan Kearifan lokal atau kebudayaan lokal yang di jadikan sebagai kegiatan ekonomi dalam menunjang penghidupan masyarakat di desa</t>
  </si>
  <si>
    <t>Kemenparekraf, Kemendikbudristek, Kemendesa PDTT, Kemendag, Bekraf, Lembaga Kebudayaan Lokal</t>
  </si>
  <si>
    <t>Dinas Pariwisata dan Kebudayaan, Dinas Koperasi daan UKM, Dinas Pendidikan</t>
  </si>
  <si>
    <t>Dinas Pariwisata dan Kebudayaan, Dinas PMD, Dinas Perindustrian dan Perdagangan</t>
  </si>
  <si>
    <t>Pemdes, Bumdes, Kelompok Masyarakat Adat dan Budaya</t>
  </si>
  <si>
    <t>SKOR Kerjasama desa dengan desa lainnya</t>
  </si>
  <si>
    <t>Kemendesa PDTT,Kemendagri, Kemenko PMK,BKPM, LPM</t>
  </si>
  <si>
    <t>Dinas PMD, Dinas Perdagangan, Dinas Koperasi dan UKM</t>
  </si>
  <si>
    <t>Dinas PMD, Disperindag, Dinas Pariwisata dan Kebudayaan</t>
  </si>
  <si>
    <t>Pemdes, Bumdes, Kelompok Masyarakat</t>
  </si>
  <si>
    <t>SKOR Kerjasama desa dengan pihak ketiga</t>
  </si>
  <si>
    <t>Kemendesa PDTT, Kemendagri, Kementerian Perdagangan, Kementerian Koperasi dan UKM, BKPM, BUMN, LSM</t>
  </si>
  <si>
    <t>Dinas PMD, Disperindag, Dinas Koperasi dan UKM</t>
  </si>
  <si>
    <t>Dinas PMD, Disperindag, Dinas Lingkungan Hidup</t>
  </si>
  <si>
    <t>SKOR Ketersediaan Pendidikan Non-formal/Pusat Keterampilan/Kursus</t>
  </si>
  <si>
    <t>Kemendikbudristek, Kemenaker, Kemendesa PDTT,Kemensos, BNSP, Perpustakaan Nasional, LPKS</t>
  </si>
  <si>
    <t>Dinas Pendidikan, Dinas Ketenagakerjaan, Disperindag</t>
  </si>
  <si>
    <t>Dinas Pendidikan, Dinas Ketenagakerjaan, Dinas Koperasi dan UKM</t>
  </si>
  <si>
    <t>SKOR Keterlibatan Angkatan Kerja pada Pendidikan Non-formal/Pusat Keterampilan/Kursus</t>
  </si>
  <si>
    <t>Kemenaker, Kemendikbudristek, Kemendesa PDTT, Kemenperin, BNSP, Bappenas, BUMN</t>
  </si>
  <si>
    <t>Dinas Ketenagakerjaan, Dinas Pendidikan, Disperindag</t>
  </si>
  <si>
    <t>Dinas Ketenagakerjaan, Dinas Pendidikan, Dinas Koperasi dan UKM</t>
  </si>
  <si>
    <t>Pemdes, Bumdes, Kelompok Pemuda Desa</t>
  </si>
  <si>
    <t>SKOR Ketersediaan Pasar di Desa</t>
  </si>
  <si>
    <t>Kemendesa PDTT, Kemendag, Kementerian Koperasi dan UKM, Kementan, LPDB-KUMKM, BKPM, Perpustakaan Nasional dan Lembaga Arsip Daerah</t>
  </si>
  <si>
    <t>Disperindag, Dinas Koperasi dan UKM, Dinas Pertanian</t>
  </si>
  <si>
    <t>Dinas Perdagangan, Dinas Koperasi dana UKM, Dinas Pertanian dan Perikanan</t>
  </si>
  <si>
    <t>Pemdes, Bumdes, Kelompok Tani dan Pengrajin</t>
  </si>
  <si>
    <t>SKOR Kemudahan akses menuju pasar di Desa</t>
  </si>
  <si>
    <t>Kementerian PUPR, Kemenhub, Kemendesa PDTT, Kementan, BPIW, BNPB, LKPP</t>
  </si>
  <si>
    <t>Dinas PUPR, Dinas Perhubungan, Dinas Pembangunan</t>
  </si>
  <si>
    <t>Dinas PUPR, Dinas Perhubungan, Dinas PMD</t>
  </si>
  <si>
    <t>SKOR Ketersediaan Toko/Pertokoan  di Desa</t>
  </si>
  <si>
    <t>Kemendesa PDTT, Kementerian Koperasi dan UKM, Kementerian PUPR, Kemendag, LPDB-KUMKM, BPIW, BKPM</t>
  </si>
  <si>
    <t>Dinas Koperasi dan UKM, Disperindag, Dinas PU dan Penataan Ruang</t>
  </si>
  <si>
    <t>Disperindag, Dinas Koperasi dan UKM, Dinas PU</t>
  </si>
  <si>
    <t>SKOR Kemudahan akses menuju toko/pertokoan di Desa</t>
  </si>
  <si>
    <t>Kemendesa PDTT, Kementerian PUPR, Kemenhub, Kemendag, BPIW, BNPB, LPDB-KUMKM</t>
  </si>
  <si>
    <t>Dinas PUPR, Dishub, Disperindag</t>
  </si>
  <si>
    <t>Dinas PU, Dishub, Disperindag</t>
  </si>
  <si>
    <t>SKOR Ketersediaan Kedai/Rumah Makan di Desa</t>
  </si>
  <si>
    <t>Kemendesa PDTT, Kemenparekraf, Kementerian Koperasi dan UKM, Kemendag, LPDB-KUMKM, Bekraf, BKPM</t>
  </si>
  <si>
    <t>Dinas Koperasi dan UKM, Disperindag, Dinas Pariwisata</t>
  </si>
  <si>
    <t>SKOR Kemudahan akses menuju Kedai/Rumah Makan di Desa</t>
  </si>
  <si>
    <t>Kemendesa PDTT, Kementerian PUPR, kemenhub, Kemenparekraf, BPIW, Bekraf, LPDB-KUMKM</t>
  </si>
  <si>
    <t>Dias PUPR, Dishub, Dinas Pariwisata</t>
  </si>
  <si>
    <t>Dinas PU, Dishub, Dinas Pariwisata</t>
  </si>
  <si>
    <t>SKOR Ketersediaan Penginapan di Desa</t>
  </si>
  <si>
    <t>Kemendesa PDTT, Kemenparekraf, Kementerian Koperasi dan UKM, Kemendag, Bekraf, BPIW, LPDB-KUMKM</t>
  </si>
  <si>
    <t>Dinas Pariwisata, Dinas PUPR, Dinas Perdagangan dan Koperasi</t>
  </si>
  <si>
    <t>Dinas Pariwisata, Dinas PU, Dinas Perdagangan dan Koperasi</t>
  </si>
  <si>
    <t>SKOR Kemudahan akses menuju Penginapan di Desa</t>
  </si>
  <si>
    <t>Kemendesa PDTT, Kementerian PUPR, Kemenhub, Kemenparekraf, BPIW-Bekraf, LPDB-KUMKM</t>
  </si>
  <si>
    <t>Dinas PUPR, Dishub, Dinas Pariwisata</t>
  </si>
  <si>
    <t>Layanan Pos dan Logistik</t>
  </si>
  <si>
    <t>SKOR Ketersediaan Layanan Pos dan Logistik di Desa</t>
  </si>
  <si>
    <t>Kemendesa PDTT, Kementerian Kominfo, Kemenhub, BUMN, PT Pos Indonesia, Bulog, BPOM</t>
  </si>
  <si>
    <t>Dishub, Diskominfo, Dinas Koperasi dan UKM</t>
  </si>
  <si>
    <t>Dishub, Diskominfo, Dinas Koeprasi dan UKM</t>
  </si>
  <si>
    <t>SKOR Kemudahan akses menuju Layanan Pos dan Logistik di Desa</t>
  </si>
  <si>
    <t>Dishub, Diskominfo, Dinas Perdagangan</t>
  </si>
  <si>
    <t>Dishub, Dinas Komunikasi dan Informatika, Dinas Koperasi dan UKM</t>
  </si>
  <si>
    <t>SKOR Keberadaan BUM Desa/BUM Desa Bersama di Desa</t>
  </si>
  <si>
    <t>Kemendesa PDTT, Kementerian Koperasi dan UKM, Kemenkeu, Kementerian BUMN, BUMN, Lembaga Pengembangan Ekonomi,Bappenas</t>
  </si>
  <si>
    <t>Dinas PMD, Dinas Koperasi dan UKM, Dinas Perdagangan</t>
  </si>
  <si>
    <t>Dinas PMD,Dinas Koperasi dan UKM, Dinas Perdagangan</t>
  </si>
  <si>
    <t>Pemdes, Bumdes</t>
  </si>
  <si>
    <t>SKOR BUM Desa/BUM Desa Bersama sudah berbadan hukum</t>
  </si>
  <si>
    <t>Kemendesa PDTT, Kemenkumham, Kementerian Koperasi dan UKM, BKPM, LPED</t>
  </si>
  <si>
    <t>SKOR Operasional BUM Desa/BUM Desa Bersama</t>
  </si>
  <si>
    <t>Kemendesa PDTT, Kementeian Koperasi dan UKM, Kemenkeu, BKPM, LPED</t>
  </si>
  <si>
    <t>SKOR Ketersediaan Lembaga Ekonomi lainnya di Desa (selain BUM Desa/BUM Desa bersama)</t>
  </si>
  <si>
    <t>Kemendesa PDTT, Kementerian Koperasi dan UKM, Kemenkeu, Kemensos, BKPM, LPED, OJK</t>
  </si>
  <si>
    <t>SKOR Ketersediaan Lembaga Ekonomi KUD</t>
  </si>
  <si>
    <t>Pemdes, Lembaga Ekonomi</t>
  </si>
  <si>
    <t>SKOR Ketersediaan Lembaga Ekonomi UMKM</t>
  </si>
  <si>
    <t>Kemenkop UKM, Kemendesa PDTT, Kemendag, kemenkeu, Bekraf, BKPM, OJK, Lembaga Pembiayaan</t>
  </si>
  <si>
    <t>Dinas Koperasi dan UKM, Dinas Perdagangan, Dinas Perindustrian</t>
  </si>
  <si>
    <t>SKOR Ketersediaan layanan perbankan di desa</t>
  </si>
  <si>
    <t>Kemenkeu, BI, OJK, Kemendesa PDTT, BKPM, LKM</t>
  </si>
  <si>
    <t>Dinas Koperasi dan UKM, Dinas Perdagangan</t>
  </si>
  <si>
    <t>Dinas Koperasi dan UKM, Dinsos</t>
  </si>
  <si>
    <t>SKOR Operasional layanan perbankan</t>
  </si>
  <si>
    <t>SKOR Keberadaan Layanan Fasilitas Kredit Berupa KUR</t>
  </si>
  <si>
    <t>Kemenkeu, Kemenkop UKM, Kemendesa PDTT, OJK, Bank Pemerintah, Lembaga Keuangan Mikro, Aosiasi Perbankan Indonesia</t>
  </si>
  <si>
    <t>Dinas Koperasi dan UKM, Disperindag</t>
  </si>
  <si>
    <t>Dinas Koperasi dan UKM, Dinas PMD</t>
  </si>
  <si>
    <t>Pemdes, Lembaga Ekonomi, lembaga Pengelola Keuangan Desa</t>
  </si>
  <si>
    <t xml:space="preserve">SKOR Keberadaan Layanan Fasilitas Kredit Berupa KKP-E </t>
  </si>
  <si>
    <t>Kemenkop UKM, Kemenkeu, OJK, Kemendesa PDTT, Bank Pemerintah, Lembaga Keuangan Mikro</t>
  </si>
  <si>
    <t xml:space="preserve">SKOR Keberadaan Layanan Fasilitas Kredit Berupa KUK </t>
  </si>
  <si>
    <t>Kemenkop UKM, Kemenkeu, OJK, Kemendesa PDTT, Bank Pemeintah, Lembaga Keuangan Mikro</t>
  </si>
  <si>
    <t>Pemdes, Lembaga Ekonomi Desa</t>
  </si>
  <si>
    <t>SKOR Status Layanan Fasilitas Kredit di Desa</t>
  </si>
  <si>
    <t>Kemenkeu, Kemenkop UKM, OJK, Bank Pemerintah, Lembaga Keuangan Mikro,lembaga Pembiayaan</t>
  </si>
  <si>
    <t>SKOR Terdapat upaya menjaga/mempertahankan/melestarikan kearifan lingkungan berupa atraksi alam/sumberdaya alam/keindahan alam yang ada di desa</t>
  </si>
  <si>
    <t>KLHK,
Kemenparekraf,
Kemendesa PDTT,
Bappenas</t>
  </si>
  <si>
    <t>Dinas Lingkungan Hidup Provinsi,
Dinas Pariwisata Provinsi,
Bappeda Provinsi</t>
  </si>
  <si>
    <t>Dinas Lingkungan Hidup Kab/Kota,
Dinas Pariwisata Kab/Kota</t>
  </si>
  <si>
    <t>Pemerintah Desa,
Pokdarwis</t>
  </si>
  <si>
    <t>LSM,
Swasta,
BUMDes,
Akademisi</t>
  </si>
  <si>
    <t>SKOR Terdapat peraturan/regulasi yang mengatur terkait pelestarian lingkungan di Desa</t>
  </si>
  <si>
    <t>KLHK,
Kemendagri,
Kemendesa PDTT
Bappenas,
BSN</t>
  </si>
  <si>
    <t>Dinas Lingkungan Hidup Provinsi,
Dinas Pemerdayaan Masyarakat Desa Provinsi</t>
  </si>
  <si>
    <t>Dinas Lingkungan Hidup Kab/Kota,
Dinas Pemberdayaan Masyarakat Kab/Kota</t>
  </si>
  <si>
    <t>Pemerintah Desa,
BPD,
Lembaga Masyarakat Adat</t>
  </si>
  <si>
    <t>LSM,
Swasta,
Akademisi</t>
  </si>
  <si>
    <t>SKOR Terdapat kegiatan pelestarian lingkungan berbasis kearifan lokal di bidang lingkungan di Desa</t>
  </si>
  <si>
    <t>Dinas Lingkungan Hidup Provinsi,
Dinas Pariwisata Provinsi,
Dinas Kebuudayaan Provinsi</t>
  </si>
  <si>
    <t>Dinas Lingkungan Hidup Kab/Kota,
Dinas Pemberdayaan Masyarakat dan Desa (DPMD) Kab/Kota</t>
  </si>
  <si>
    <t>Pemerintah Desa,
Lembaga Masyarakat Adat</t>
  </si>
  <si>
    <t>BUMDes,
LSM,
Swasta,
Akademisi</t>
  </si>
  <si>
    <t>SKOR Terdapat pemanfaatan Energi Baru Terbarukan di desa</t>
  </si>
  <si>
    <t>Kementerian ESDM,
Kemendesa PDTT,
KLHK, Bappenas, BPPT</t>
  </si>
  <si>
    <t>Dinas ESDM Provinsi,
Dinas Lingkungan Hidup Provinsi</t>
  </si>
  <si>
    <t>Dinas ESDM Kab/Kota,
Dinas Pemberdayaan Masyarakat dan Desa Kab/Kota</t>
  </si>
  <si>
    <t>Pemerintah Desa,
Kelompok Masyarakat</t>
  </si>
  <si>
    <t>BUMDesa,
Swasta,
Akademisi</t>
  </si>
  <si>
    <t>SKOR Ketersediaan Tempat Penampuangan Pembuangan Sampah di Desa</t>
  </si>
  <si>
    <t>KLHK,
Kemendesa PDTT,
Bappenas</t>
  </si>
  <si>
    <t>Dinas Lingkungan Hidup Provinsi,
Bappeda Provinsi,
Dinas Pemberdayaan Masyarakat dan Desa (DPMD) Provinsi</t>
  </si>
  <si>
    <t>Dinas Lingkungan Hidup Kabupaten/Kota,
Dinas Pemberdayaan Masyarakat dan Desa (DPMD) Kabupaten/Kota</t>
  </si>
  <si>
    <t xml:space="preserve">Pemerintah Desa,
</t>
  </si>
  <si>
    <t>BUMDesa,
LSM,
Swasta,
Akademisi</t>
  </si>
  <si>
    <t>SKOR Ketersediaan Pengolahan Sampah di desa</t>
  </si>
  <si>
    <t>KLHK,
Kemendagri,
Kemendesa PDTT,
Bappenas,
BPPT</t>
  </si>
  <si>
    <t>Dinas Lingkungan Hidup Provinsi,
Dinas Pemberdayaan Masyarakat dan Desa (DPMD) Provinsi</t>
  </si>
  <si>
    <t>Pemerintah Desa,
Lembaga Masyarakat Desa,
BPD</t>
  </si>
  <si>
    <t>SKOR Ketersediaan Pemanfaatan Sampah di desa</t>
  </si>
  <si>
    <t>Swasta,
LSM,
BUMDesa
Akademisi</t>
  </si>
  <si>
    <t>SKOR Rata-rata kejadian pencemaran lingkungan</t>
  </si>
  <si>
    <t>KLHK,
Kemendesa PDTT,
Kementerian Perindustrian,
Kementerian ESDM,
Bappenas,
BPPT</t>
  </si>
  <si>
    <t>Dinas Lingkungan Hidup Provinsi,
Dinas Perindustrian dan Perdagangan Provinsi</t>
  </si>
  <si>
    <t>Dinas Lingkungan Hidup Kab/Kota,
Dinas Kesehatan Kab/Kota,
Dinas Perindustrian dan Perdagangan Kab/Kota</t>
  </si>
  <si>
    <t>LSM,
BUMDesa.
Swasta,
Akademisi</t>
  </si>
  <si>
    <t>Rumah Tangga Dengan Akses Sanitasi (Air Limbah Domestik) Aman</t>
  </si>
  <si>
    <t>SKOR Ketersediaan dan kepemilikan Jamban di Desa</t>
  </si>
  <si>
    <t>KLHK,
Kementerian Perindustrian,
Kementerian ESDM,
Kemendesa PDTT,
Bappenas,
BPPT</t>
  </si>
  <si>
    <t>Dinas Kesehatan Provinsi,
Dinas Pemberdayaan Masyarakat dan Desa (DPMD) Provinsi</t>
  </si>
  <si>
    <t>Dinas Kesehatan Kabupaten/Kota,
Dinas Pemberdayaan Masyarakat dan Desa (DPMD) Kabupaten/Kota</t>
  </si>
  <si>
    <t>Pemerintah Desa,
BPD,
Lembaga Masyarakat Desa</t>
  </si>
  <si>
    <t>Swasta,
BUMDesa,
Akademisi</t>
  </si>
  <si>
    <t>SKOR Keberfungsian jamban</t>
  </si>
  <si>
    <t>KLHK,
Kemendesa Perindustrian,
Kementerian ESDM,
Kemendesa PDTT,
Bappenas,
BPPT</t>
  </si>
  <si>
    <t>Dinas Lingkungan Hidup Kabupaten/Kota,
Dinas Kesehatan Kabupaten/Kota,
Dinas Perindustrian dan Perdagangan Kabupaten/Kota</t>
  </si>
  <si>
    <t>SKOR Ketersediaan Tangki Septik (Komunal/ Bersama)</t>
  </si>
  <si>
    <t>Kementerian PUPR,
Kementerian Kesehatan,
Kemendesa PDTT,
Bappenas,
BPPT</t>
  </si>
  <si>
    <t>Dinas Perkim Provinsi,
Dinas  Kesehatan Provinsi</t>
  </si>
  <si>
    <t>Dinas Kesehatan Kabupaten/Kota,
Dinas PUPR Kabupaten/Kota,
Dinas Lingkungan Hidup Kabupaten/Kota</t>
  </si>
  <si>
    <t>SKOR Keberfungsian Tangki Septik</t>
  </si>
  <si>
    <t>SKOR Pembuangan Air Limbah Cair Rumah</t>
  </si>
  <si>
    <t>SKOR Ketersediaan Aspek informasi Kebencanaan</t>
  </si>
  <si>
    <t>Kemendagri,
Kemensos,
Kemenkominfo,
KLHK,
BNPB,
BMKG,
BIG,
LIPI</t>
  </si>
  <si>
    <t>BPBD,
Dinas Komunikasi dan Informatika,
Dinas Lingkungan Hidup Provinsi</t>
  </si>
  <si>
    <t>BPBD Kabupaten/Kota,
Dinas kominfo Kabupaten/Kota,
Dinas Pendidikan Kabupaten/Kota</t>
  </si>
  <si>
    <t>Pemerintah Desa,
Lembaga Masyarakat Desa</t>
  </si>
  <si>
    <t xml:space="preserve">SKOR Ketersediaan Fasilitas Mitigasi Bencana </t>
  </si>
  <si>
    <t>Kemendagri,
Kementerian PUPR,
Kemensos,
Kemenkominfo,
KLHK,
BNPB,
BMKG,
BIG,
LIPI</t>
  </si>
  <si>
    <t>BPBD,
Dinas PUPR Provinsi,
Dinas Lingkungan Hidup Provinsi</t>
  </si>
  <si>
    <t>BPBD Kabupaten/Kota,
Dinas Pertanian Kabupaten/Kota,
Dinas Pendidikan Kabupaten/Kota</t>
  </si>
  <si>
    <t>Pemerintah Desa,
Lembaga Masyarakat Desa,
Relawan Tanggap Bencana</t>
  </si>
  <si>
    <t>SKOR Kemudahan Akses Menuju Fasilitas Mitigasi Bencana</t>
  </si>
  <si>
    <t>Kemendagri,
Kementerian PUPR,
Kemensos,
Kemenhub,
BNPB,
BMKG,
BIG,
LIPI</t>
  </si>
  <si>
    <t>BPBD,
Dinas PUPR Provinsi,
Dinas Perhubungan Provinsi</t>
  </si>
  <si>
    <t>BPBD Kabupaten/Kota,
Dinas Perhubungan Kabupaten/Kota,
Dinas PUPR Kabupaten/Kota</t>
  </si>
  <si>
    <t>SKOR Terdapat aktivitas Mitigasi dan atau Rehabilitasi Bencana di Desa</t>
  </si>
  <si>
    <t>Kemendagri,
Kementerian PUPR,
KLHK,
Kemensos,
BNPB,
BMKG,
BIG,
LIPI</t>
  </si>
  <si>
    <t>BPBD Kabupaten/Kota,
Dinas Kesehatan Kabupaten/Kota,
Dinas Pendidikan Kabupaten/Kota</t>
  </si>
  <si>
    <t>SKOR Ketersediaan Fasilitas Aspek Tanggap Darurat Bencana</t>
  </si>
  <si>
    <t>Kemendagri,
Kementerian PUPR,
Kemenkominfo,
Kemensos,
BNPB,
BMKG,
BIG,
LIPI</t>
  </si>
  <si>
    <t>BPBD,
Dinas PUPR Provinsi,
Dinas Kesehatan Provinsi</t>
  </si>
  <si>
    <t>BPBD Kabupaten/Kota,
Dinas Sosial Kabupaten/Kota,
Dinas Pendidikan Kabupaten/Kota</t>
  </si>
  <si>
    <t>SKOR Jenis Permukaan Jalan sebagian besar di desa</t>
  </si>
  <si>
    <t>Kementerian PUPR,
Kemendesa PDTT,
Kemeterian Perhubungan,
KLHK,
LKPP,
BIG,
BUMN</t>
  </si>
  <si>
    <t>Dinas PUPR Provinsi,
Dinas Perhubungan Provinsi</t>
  </si>
  <si>
    <t>Dinas PUPR Kabupaten/Kota,
Dinas Perhubungan Kabupaten/Kota</t>
  </si>
  <si>
    <t>Pemerintah Desa,
Lembaga Masyarakat Desa,</t>
  </si>
  <si>
    <t>SKOR Kualitas sebagian besar jalan di Desa</t>
  </si>
  <si>
    <t>Kementerian PUPR,
Kemendesa PDTT,
Kemeterian Perhubungan,
KLHK,
BPKP,
BIG,
BUMN</t>
  </si>
  <si>
    <t>SKOR Ketersediaan penerangan di jalan-jalan utama di desa</t>
  </si>
  <si>
    <t>Kementerian ESDM,
Kemendesa PDTT,
Kementerian PUPR,
Kemenhub,
PLN,
LKPP,
BUMN</t>
  </si>
  <si>
    <t>Dinas ESDM Provinsi,
Dinas Perhubungan Provinsi,
Dinas PUPR Provinsi</t>
  </si>
  <si>
    <t>SKOR Operasional desa dalam penyediaan penerangan di jalan-jalan utama di desa</t>
  </si>
  <si>
    <t>Kementerian ESDM,
Kemendesa PDTT,
Kemenkeu,
KLHK,
PLN,
BUMN</t>
  </si>
  <si>
    <t>Dinas ESDM Provinsi,
Dinas Perhubungan Provinsi</t>
  </si>
  <si>
    <t>SKOR Keberadaan Angkutan Perdesaan/Angkutan Lokal/ Sejenis di Desa</t>
  </si>
  <si>
    <t>Kemenhub,
Kemendesa PDTT,
Kemenkeu,
Perusahaan Otobus,
BUMN Transportasi</t>
  </si>
  <si>
    <t>SKOR Operasional Angkutan Perdesaan/Angkutan Lokal/Sejenis  di Desa</t>
  </si>
  <si>
    <t>Kemenhub,
Kemendesa PDTT,
Kementerian PUPR,
Kemenkeu,
PLN,
BUMN Transportasi</t>
  </si>
  <si>
    <t>SKOR Ketersediaan Pelayanan Listrik untuk rumah di desa</t>
  </si>
  <si>
    <t>Kementerian ESDM,
Kemendesa PDTT,
Kemenkeu,
PLN,
BUMN Lembaga Energi</t>
  </si>
  <si>
    <t>Dinas PUPR Provinsi,
Dinas ESDM Provinsi</t>
  </si>
  <si>
    <t>Dinas PUPR Kabupaten/Kota,
Dinas ESDM Kabupaten/Kota</t>
  </si>
  <si>
    <t>SKOR Tersedia Lama Durasi layanan Listrik di Desa</t>
  </si>
  <si>
    <t>Kementerian ESDM,
Kemendesa PDTT,
Kemenkeu,
Kementerian PUPR,
PLN,
BUMN Lembaga Energi Terbarukan</t>
  </si>
  <si>
    <t>SKOR Ketersediaan Akses Telepon di sebagian besar wilayah Desa</t>
  </si>
  <si>
    <t>Kemenkominfo,
Kemendesa PDTT,
Kementerian PUPR,
BAKTI,
Lembaga Penyedia Telekomunikasi Nasional</t>
  </si>
  <si>
    <t>Dinas Kominfo Provinsi</t>
  </si>
  <si>
    <t>Dinas Kominfo Kabupaten/Kota,
Dinas PUPR Kabupaten/Kota</t>
  </si>
  <si>
    <t>SKOR Ketersediaan Akses Internet di sebagian besar wilayah Desa</t>
  </si>
  <si>
    <t>Kemenkominfo,
Kemendesa PDTT,
Kementerian PUPR,
BAKTI,
Lembaga Penyedia Jasa Internet (ISP)</t>
  </si>
  <si>
    <t>Dinas Kominfo Provinsi,
Dinas PUPR Provinsi</t>
  </si>
  <si>
    <t>Dinas Kominfo Kabupaten/Kota,
Dinas Pendidikan dan kebudayaan Kabupaten/Kota</t>
  </si>
  <si>
    <t>SKOR Pelaksanaan Pelayanan dan Administrasi Desa</t>
  </si>
  <si>
    <t>Kemendagri,
Kemendesa PDTT,
Kemenkeu,
BPKP,
Lembaga Administrasi Negara</t>
  </si>
  <si>
    <t>Dinas Kesehatan Provinsi,
BKD Provinsi</t>
  </si>
  <si>
    <t>Dinas Kominfo Kabupaten/Kota,
Dinas PMD Kabupaten/Kota</t>
  </si>
  <si>
    <t>Pemerintah Desa,
BPD,</t>
  </si>
  <si>
    <t>Swasta,
Akademisi</t>
  </si>
  <si>
    <t>SKOR Publikasi Informasi Pelayanan kepada masyarakat desa</t>
  </si>
  <si>
    <t>Kemenkominfo,
Kemendesa PDTT,
Kemendagri,
BAKTI,
Komisi Informasi Pusat</t>
  </si>
  <si>
    <t>Dinas Kominfo Provinsi,
Dinas PMD Provinsi</t>
  </si>
  <si>
    <t>SKOR Pelayanan Administrasi untuk masyarakat desa</t>
  </si>
  <si>
    <t>Kemenkeu,
Kemendesa PDTT,
Kemendagri,
Lembaga Administrasi Negara,
Komisi Aparatur Sipil Negara</t>
  </si>
  <si>
    <t>Dinas Kominfo Kabupaten/Kota,
Dinas Dukcapil Kabupaten/Kota</t>
  </si>
  <si>
    <t>SKOR Pelayanan Pengaduan untuk masyarakat desa</t>
  </si>
  <si>
    <t>Kemendagri,
Kemendesa PDTT,
Kemenkumham,
KORI,
Komisi Informasi Pusat</t>
  </si>
  <si>
    <t>SKOR Pelayanan Lainnya untuk masyarakat desa</t>
  </si>
  <si>
    <t>Kemendagri,
Kemendesa PDTT,
Kemenkes,
BNPB,
BPS</t>
  </si>
  <si>
    <t>Dinas Kesehatan Provinsi,
Dinas Sosial Provinsi</t>
  </si>
  <si>
    <t>Dinas Kesehatan Kabupaten/Kota,
Dinas PMD Kabupaten/Kota</t>
  </si>
  <si>
    <t>SKOR Frekuensi Musyawarah Desa selama setahun terakhir</t>
  </si>
  <si>
    <t>Kemendagri,
Kemendesa PDTT,
BPMD,
Bappenas</t>
  </si>
  <si>
    <t>Bappeda Provinsi,
Dinas PMD Provinsi</t>
  </si>
  <si>
    <t>Bappeda Kabupaten/Kota,
Dinas PMD Kabupaten/Kota</t>
  </si>
  <si>
    <t>Swasta,
Akademisi,
LSM</t>
  </si>
  <si>
    <t>SKOR Musyawarah Desa dihadiri oleh unsur masyarakat atau unsur masyarakat lainnya</t>
  </si>
  <si>
    <t>Dinas Pendidikan Provinsi,
Dinas PMD Provinsi</t>
  </si>
  <si>
    <t>Dinas Sosial Kabupaten/Kota,
Dinas PMD Kabupaten/Kota</t>
  </si>
  <si>
    <t>SKOR Pendapatan Asli Desa</t>
  </si>
  <si>
    <t>Kemendagri,
Kemendesa PDTT,
Kemenkeu,
BPMD,
BPKP</t>
  </si>
  <si>
    <t>Dinas Parekraf Provinsi,
Dinas PMD Provinsi</t>
  </si>
  <si>
    <t>Dinas Koperasi dan UMKM Kabupaten/Kota,
Dinas PMD Kabupaten/Kota</t>
  </si>
  <si>
    <t>SKOR Peningkatan PADes</t>
  </si>
  <si>
    <t>Kemendagri,
Kemendesa PDTT,
Kemenkeu,
Kemenparekraf,
BPMD,
Bappenas,
BPKP</t>
  </si>
  <si>
    <t>SKOR Ketersediaan Penyertaan Modal dari Dana Desa kepada BUMDesa</t>
  </si>
  <si>
    <t>Kemendagri,
Kemendesa PDTT,
Kemenkeu,
Bappenas,
BPKP</t>
  </si>
  <si>
    <t>Dinas Koperasi dan UMKM Provinsi,
Dinas PMD Provinsi</t>
  </si>
  <si>
    <t>Dinas Keuangan Kabupaten/Kota,
Dinas PMD Kabupaten/Kota</t>
  </si>
  <si>
    <t>SKOR Kepemilikan Aset berupa Tanah Desa</t>
  </si>
  <si>
    <t>Kementerian ATR/BPN,
Kemendesa PDTT,
Kemendagri,
BPN,
BPKP</t>
  </si>
  <si>
    <t>Dinas Pertanahan dan Tata Ruang Provinsi,
Dinas PMD Provinsi</t>
  </si>
  <si>
    <t xml:space="preserve">Dinas PMD Kabupaten/Kota,
</t>
  </si>
  <si>
    <t>SKOR Kepemilikan Aset berupa Kantor Desa</t>
  </si>
  <si>
    <t>Kemendagri,
Kemendesa PDTT,
Kementerian PUPR,
BPK,
BPKP</t>
  </si>
  <si>
    <t>Dinas PMD Kabupaten/Kota,
Dinas Perumahan, Kawasan Permukiman, dan Pertanahan Kabupaten/Kota</t>
  </si>
  <si>
    <t>Pemerintah Desa,
BPD</t>
  </si>
  <si>
    <t>SKOR Kepemilikan Aset berupa Pasar Desa</t>
  </si>
  <si>
    <t>Kemendagri,
Kemendesa PDTT,
Kementerian Perdagangan,
Kemenkeu,
BPK,
BPKP</t>
  </si>
  <si>
    <t>Dinas Perdagangan dan Koperasi Kabupaten/Kota,
Dinas PMD Kabupaten/Kota</t>
  </si>
  <si>
    <t>SKOR Kepemilikan Aset Lainnya</t>
  </si>
  <si>
    <t>Kemendagri,
Kemendesa PDTT,
Kementerian PUPR,
Kemenkeu,
BPK,
BPKP</t>
  </si>
  <si>
    <t>Dinas Pemuda dan Olahraga atau Kebudayaan Provinsi,
Dinas PMD Provinsi</t>
  </si>
  <si>
    <t>SKOR Produktivitas Kepemilikan Aset Desa</t>
  </si>
  <si>
    <t>Kemendagri,
Kemendesa PDTT,
Kemenparekraf,
Kemenkeu,
Bappenas,
BPKP</t>
  </si>
  <si>
    <t>Dinas Pariwisata dan Kebudayaan Provinsi,
Dinas PMD Provinsi</t>
  </si>
  <si>
    <t>Dinas Koperasi dan UMKM Kabupaten/Kota,
Dinas PMD Kabupaten/Kota,
Dinas Perdagangan atau Perindustrian Kabupaten/Kota</t>
  </si>
  <si>
    <t>SKOR inventarisasi Aset Desa</t>
  </si>
  <si>
    <t>Kemendagri,
Kemendesa PDTT,
Kemenkeu,
BPN,
BPKP,
LKPP</t>
  </si>
  <si>
    <t>Dinas PMD Provinsi</t>
  </si>
  <si>
    <t>Dinas Pertahanan Kabupaten/Kota,
Dinas PMD Kabupaten/Kota,
Dinas Keuangan Daerah Kabupaten/Kota</t>
  </si>
  <si>
    <t>TOTAL SKOR INDEKS DESA</t>
  </si>
  <si>
    <t>STATUS INDEKS DESA</t>
  </si>
  <si>
    <t>Jarak ke kelompok pertokoan terdekat</t>
  </si>
  <si>
    <t>Nomor sertifikat BUM Desa tersebut</t>
  </si>
  <si>
    <t>Status Bumdesa (Aktif/Tidak Aktif)</t>
  </si>
  <si>
    <t>Status Bumdesa Bersama (Aktif/Tidak Aktif)</t>
  </si>
  <si>
    <t>Apakah terdapat pemanfaatan Energi Baru Terbarukan di desa?
(tenaga surya/angin/mikrohidro/biogas/biomassa/pasang surut/arus laut)</t>
  </si>
  <si>
    <t>Ketersediaan dan kepemilikan Jamban di Desa</t>
  </si>
  <si>
    <t>Keberfungsian jamban</t>
  </si>
  <si>
    <t>Ketersediaan Septic Tank (Pilihan: Komunal / Individual)</t>
  </si>
  <si>
    <t>Keberfungsian Septic Tank</t>
  </si>
  <si>
    <t>APBDes disampaikan melalui Papan Informasi</t>
  </si>
  <si>
    <t>APBDes disampaikan melalui Musyawarah Desa</t>
  </si>
  <si>
    <t>APBDes disampaikan melalui Website</t>
  </si>
  <si>
    <t>APBDes disampaikan melalui Banner</t>
  </si>
  <si>
    <t>APBDes disampaikan melalui Media Sosial</t>
  </si>
  <si>
    <t>APBDes disampaikan melalui Lainnya (Sebutkan)</t>
  </si>
  <si>
    <t>n</t>
  </si>
  <si>
    <t>Jumlah Perempuan yang mengikuti Musyawarah Desa</t>
  </si>
  <si>
    <t>Petani Laki-Laki</t>
  </si>
  <si>
    <t>Nelayan Laki-Laki</t>
  </si>
  <si>
    <t>Buruh Tani/Buruh Nelayan Laki-Laki</t>
  </si>
  <si>
    <t>Buruh Pabrik Laki-Laki</t>
  </si>
  <si>
    <t>PNS Laki-Laki</t>
  </si>
  <si>
    <t>Pegawai Swasta Laki-Laki</t>
  </si>
  <si>
    <t>Wiraswasta / pedagang Laki-Laki</t>
  </si>
  <si>
    <t>TNI Laki-Laki</t>
  </si>
  <si>
    <t>POLRI Laki-Laki</t>
  </si>
  <si>
    <t>Dokter (Swasta/ Honorer) Laki-Laki</t>
  </si>
  <si>
    <t>Bidan (Swasta/ Honorer)</t>
  </si>
  <si>
    <t>Perawat (Swasta/ Honorer) Laki-Laki</t>
  </si>
  <si>
    <t>Lainnya Laki-Laki</t>
  </si>
  <si>
    <t>Jumlah warga penyandang kebutuhan khusus Laki-Laki</t>
  </si>
  <si>
    <t>Jumlah Posyandu di Desa</t>
  </si>
  <si>
    <t>Ketersediaan sarana Rumah Sakit di Desa</t>
  </si>
  <si>
    <t>Ketersediaan sarana Rumah Sakit Bersalin di Desa</t>
  </si>
  <si>
    <t>Ketersediaan sarana Puskesmas dengan rawat inap di Desa</t>
  </si>
  <si>
    <t>Ketersediaan sarana Puskesmas tanpa rawat inap di Desa</t>
  </si>
  <si>
    <t>Ketersediaan sarana Puskesmas Pembantu di Desa</t>
  </si>
  <si>
    <t>Ketersediaan sarana Rumah Bersalin di Desa</t>
  </si>
  <si>
    <t>Ketersediaan sarana Poliklinik/Balai Pengobatan di Desa</t>
  </si>
  <si>
    <t>Ketersediaan sarana Tempat Praktek Dokter di Desa</t>
  </si>
  <si>
    <t>Ketersediaan sarana Apotek di Desa</t>
  </si>
  <si>
    <t>Sebagian Besar Warga Desa BAB (Buang Air Besar)</t>
  </si>
  <si>
    <t>Sumber Air Berasal dari Mata Air</t>
  </si>
  <si>
    <t>Air minum warga di Desa bersumber dari air kemasan</t>
  </si>
  <si>
    <t>Air untuk mandi / cuci warga di Desa bersumber dari air ledeng dengan meteran (PAM/PDAM)</t>
  </si>
  <si>
    <t>Jumlah Rumah yang memanfaatkan Diesel</t>
  </si>
  <si>
    <t>Jumlah Rumah yang memanfaatkan energi Matahari</t>
  </si>
  <si>
    <t>Terdapat fasilitas internet di kantor kepala Desa</t>
  </si>
  <si>
    <t>Informasi Desa ada di Papan informasi</t>
  </si>
  <si>
    <t>Jumlah KK yang memiliki rumah</t>
  </si>
  <si>
    <t>Jumlah KK yang memiliki rumah permanen</t>
  </si>
  <si>
    <t>Jumlah KK yang memiliki rumah semi permanen</t>
  </si>
  <si>
    <t>Jumlah KK yang memiliki rumah non permanen</t>
  </si>
  <si>
    <t>Jumlah Rumah yang dijadikan Homestay di Desa</t>
  </si>
  <si>
    <t>Warga yang menganut agama Islam</t>
  </si>
  <si>
    <t>Terdapat Masjid di Desa</t>
  </si>
  <si>
    <t>Terdapat kelompok seni adat dan budaya di Desa</t>
  </si>
  <si>
    <t>Mayoritas warga di Desa menghadiri perayaan adat budaya tertentu untuk acara kelahiran</t>
  </si>
  <si>
    <t>Ketersediaan ruang publik terbuka bagi warga tanpa perlu membayar</t>
  </si>
  <si>
    <t>Terdapat Penyandang Masalah Kesejahteraan Sosial (PMKS) Anak Jalanan</t>
  </si>
  <si>
    <t>Jumlah tenaga pengajar di SD / MI</t>
  </si>
  <si>
    <t>Jumlah anak usia SD yang putus atau tidak sekolah di Desa</t>
  </si>
  <si>
    <t>Jumlah tenaga pengajar di SMP/MTs</t>
  </si>
  <si>
    <t>Jumlah anak usia SMP yang putus atau tidak sekolah</t>
  </si>
  <si>
    <t>Jumlah tenaga pengajar di SMU / MA/ SMK</t>
  </si>
  <si>
    <t>Jumlah posyandu yang melaksanakan kegiatan / pelayanan sebulan sekali</t>
  </si>
  <si>
    <t>Jarak ke Rumah Sakit terdekat</t>
  </si>
  <si>
    <t>Jarak ke Rumah Sakit bersalin terdekat</t>
  </si>
  <si>
    <t>Jarak ke Puskesmas dengan rawat inap terdekat</t>
  </si>
  <si>
    <t>Jarak ke Puskesmas tanpa rawat inap terdekat</t>
  </si>
  <si>
    <t>Jarak ke Puskesmas Pembantu terdekat</t>
  </si>
  <si>
    <t>Jarak ke Rumah bersalin terdekat</t>
  </si>
  <si>
    <t>Jarak ke Poliklinik/Balai Pengobatan terdekat</t>
  </si>
  <si>
    <t>Jarak ke Tempat Praktek Dokter terdekat</t>
  </si>
  <si>
    <t>Jarak ke Tempat Praktek Bidan terdekat</t>
  </si>
  <si>
    <t>Jarak ke Apotek terdekat</t>
  </si>
  <si>
    <t>Jumlah dokter di Desa</t>
  </si>
  <si>
    <t>Jumlah bidan Desa (BDD) di Desa</t>
  </si>
  <si>
    <t>Jumlah tenaga kesehatan lainnya selain dokter dan bidan</t>
  </si>
  <si>
    <t>Warga Desa memanfaatkan pelayanan BPJS/JKN/KIS</t>
  </si>
  <si>
    <t>Jumlah Rumah Warga BAB Jamban Sendiri</t>
  </si>
  <si>
    <t>Sumber Air Berasal dari Danau</t>
  </si>
  <si>
    <t>Air untuk mandi / cuci warga di Desa bersumber dari air ledeng tanpa meteran</t>
  </si>
  <si>
    <t>Jumlah Rumah Tangga yang belum teraliri listrik</t>
  </si>
  <si>
    <t>Jumlah Rumah yang memanfaatkan energi Angin</t>
  </si>
  <si>
    <t>Apakah siswa dan guru di desa memanfaatkan internet untuk keperluan pendidikan?</t>
  </si>
  <si>
    <t>Kualitas Jaringan Internet di Kantor Desa</t>
  </si>
  <si>
    <t>Informasi Desa tersedia di Website Desa</t>
  </si>
  <si>
    <t>Jumlah KK yang tidak memiliki rumah</t>
  </si>
  <si>
    <t>Kondisi KK Memiliki Rumah Permanen</t>
  </si>
  <si>
    <t>Kondisi KK Memilik rumah semi permanen</t>
  </si>
  <si>
    <t>Kondisi rumah non permanen</t>
  </si>
  <si>
    <t>Warga yang menganut agama Kristen Protestan</t>
  </si>
  <si>
    <t>Terdapat Gereja Kristen di Desa</t>
  </si>
  <si>
    <t>Frekuensi kegiatan seni adat dan budaya diselenggarakan dalam setahun terakhir</t>
  </si>
  <si>
    <t>Mayoritas warga di Desa menghadiri perayaan adat budaya tertentu untuk acara kematian</t>
  </si>
  <si>
    <t>Jumlah kejadian Konflik antarkelompok masyarakat</t>
  </si>
  <si>
    <t>Tindak kejahatan yang paling sering terjadi</t>
  </si>
  <si>
    <t>Terdapat Penyandang Masalah Kesejahteraan Sosial (PMKS) Anak Terlantar</t>
  </si>
  <si>
    <t>Jumlah perempuan umur 15 tahun ke atas yang lulus SMP</t>
  </si>
  <si>
    <t>Apakah sekolah SMP di desa memiliki fasilitas pendukung pembelajaran berbasis internet seperti Wi-Fi sekolah?</t>
  </si>
  <si>
    <t>Apakah sekolah SMA di desa memiliki fasilitas pendukung pembelajaran berbasis internet seperti Wi-Fi sekolah?</t>
  </si>
  <si>
    <t>Jumlah posyandu yang melaksanakan kegiatan / pelayanan 2 bulan sekali atau lebih</t>
  </si>
  <si>
    <t xml:space="preserve">Waktu tempuh untuk menuju ke Rumah Sakit terdekat </t>
  </si>
  <si>
    <t xml:space="preserve">Waktu tempuh untuk menuju ke Rumah Sakit bersalin terdekat </t>
  </si>
  <si>
    <t xml:space="preserve">Waktu tempuh untuk menuju ke Puskesmas dengan rawat inap terdekat </t>
  </si>
  <si>
    <t xml:space="preserve">Waktu tempuh untuk menuju ke Puskesmas tanpa rawat inap terdekat </t>
  </si>
  <si>
    <t xml:space="preserve">Waktu tempuh untuk menuju ke Puskesmas Pembantu terdekat </t>
  </si>
  <si>
    <t xml:space="preserve">Waktu tempuh untuk menuju ke Rumah bersalin terdekat </t>
  </si>
  <si>
    <t xml:space="preserve">Waktu tempuh untuk menuju ke Poliklinik/Balai Pengobatan terdekat </t>
  </si>
  <si>
    <t xml:space="preserve">Waktu tempuh untuk menuju ke Tempat Praktek Dokter terdekat </t>
  </si>
  <si>
    <t xml:space="preserve">Waktu tempuh untuk menuju ke Tempat Praktek Bidan terdekat </t>
  </si>
  <si>
    <t xml:space="preserve">Waktu tempuh untuk menuju ke Apotek terdekat </t>
  </si>
  <si>
    <t>Bidan desa melakukan layanan Kesehatan dan terlibat dalam kegiatan perencanaan di desa</t>
  </si>
  <si>
    <t>Jumlah Rumah Warga BAB Jamban Bersama</t>
  </si>
  <si>
    <t>Sumber Air Berasal dari Sungai</t>
  </si>
  <si>
    <t>Air minum warga di Desa bersumber dari air ledeng tanpa meteran/ Perpipaan Lainnya</t>
  </si>
  <si>
    <t>Air untuk mandi / cuci warga di Desa bersumber dari sumur bor / pompa</t>
  </si>
  <si>
    <t>Jumlah Rumah yang memanfaatkan energi Biodiesel</t>
  </si>
  <si>
    <t>Layanan Jaringan Internet WiFi yang digunakan di Kantor Desa</t>
  </si>
  <si>
    <t>Sarana informasi Lainnya terkait desa</t>
  </si>
  <si>
    <t>Warga yang menganut agama Katolik</t>
  </si>
  <si>
    <t>Terdapat Gereja Katolik di Desa</t>
  </si>
  <si>
    <t>Jumlah kelompok seni adat dan budaya di Desa</t>
  </si>
  <si>
    <t>Mayoritas warga di Desa menghadiri perayaan adat budaya tertentu untuk acara perkawinan</t>
  </si>
  <si>
    <t>Jumlah kejadian Konflik kelompok masyarakat antar Desa</t>
  </si>
  <si>
    <t>Tingkat kunjungan/memanfaatkan ke perpustakaan di desa</t>
  </si>
  <si>
    <t>Terdapat Penyandang Masalah Kesejahteraan sosial (PMKS) Korban Kekerasan</t>
  </si>
  <si>
    <t>Mayoritas warga Desa berpartisipasi aktif dalam kegiatan Posyandu</t>
  </si>
  <si>
    <t>Jumlah Rumah Warga BAB Jamban Umum</t>
  </si>
  <si>
    <t>Air untuk mandi / cuci warga di Desa bersumber dari sumur</t>
  </si>
  <si>
    <t>Jumlah Rumah yang memanfaatkan energi Bahan Biomassa</t>
  </si>
  <si>
    <t>Menggunakan Layanan Jaringan Internet WiFi Lainnya  di Kantor Desa (Sebutkan)</t>
  </si>
  <si>
    <t>Warga yang menganut agama Buddha</t>
  </si>
  <si>
    <t>Terdapat Wihara di Desa</t>
  </si>
  <si>
    <t>Mayoritas warga di Desa menghadiri perayaan adat budaya tertentu untuk acara / hari besar lainnya</t>
  </si>
  <si>
    <t>Jumlah kejadian Konflik antara kelompok masyarakat dengan aparat keamanan</t>
  </si>
  <si>
    <t>Terdapat Penyandang Masalah Kesejahteraan Sosial (PMKS) Lanjut Usia Terlantar</t>
  </si>
  <si>
    <t>Rata-rata lama Pendidikan Sekolah Dasar SD /MI di Desa</t>
  </si>
  <si>
    <t>Rata-rata lama Pendidikan SMP / MTs di Desa</t>
  </si>
  <si>
    <t>Rata-rata lama Pendidikan SMU / MA/ SMK di Desa</t>
  </si>
  <si>
    <t>Sumber Dana Pembiayaan Kegiatan Posyandu</t>
  </si>
  <si>
    <t>Jumlah Rumah Warga BAB Bukan Jamban</t>
  </si>
  <si>
    <t>Air untuk mandi / cuci warga di Desa bersumber dari mata air</t>
  </si>
  <si>
    <t>Jumlah Rumah yang memanfaatkan energi Bahan Bakar Hayati/nabati/organik Cair</t>
  </si>
  <si>
    <t>Warga yang menganut agama Hindu</t>
  </si>
  <si>
    <t>Terdapat Pura di Desa</t>
  </si>
  <si>
    <t>Terdapat Penyandang Masalah Kesejahteraan Sosial (PMKS) Korban Penyalahgunaan NAPZA</t>
  </si>
  <si>
    <t>Air untuk mandi / cuci warga di Desa bersumber dari sungai / danau / kolam</t>
  </si>
  <si>
    <t>Jumlah Rumah yang memanfaatkan energi Microhydro</t>
  </si>
  <si>
    <t>Warga yang menganut agama Kong Hu Cu</t>
  </si>
  <si>
    <t>Terdapat Litang / Kelenteng</t>
  </si>
  <si>
    <t>Peranan tokoh lainnya menjadi mediator / penengah dalam penyelesaian Konflik massal</t>
  </si>
  <si>
    <t>Terdapat Penyandang Masalah Kesejahteraan Sosial (PMKS) Pekerja Migran Terlantar</t>
  </si>
  <si>
    <t>Air minum warga di Desa bersumber dari sungai / danau / kolam</t>
  </si>
  <si>
    <t>Air untuk mandi / cuci warga di Desa bersumber dari air hujan</t>
  </si>
  <si>
    <t>Jumlah Rumah yang memanfaatkan energi Tenaga Panas Bumi</t>
  </si>
  <si>
    <t>Jumlah Rumah yang memanfaatkan energi Pasang Surut</t>
  </si>
  <si>
    <t>Jumlah Rumah yang memanfaatkan energi Arus Laut</t>
  </si>
  <si>
    <t>Warga yang menganut agama lain</t>
  </si>
  <si>
    <t>Jumlah kejadian Konflik antarsuku</t>
  </si>
  <si>
    <t>Tidak ada yang menjadi mediator / penengah upaya dalam penyelesaian Konflik massal</t>
  </si>
  <si>
    <t>Terdapat Penyandang Masalah Kesejahteraan Sosial (PMKS) Gelandangan / Pengemis</t>
  </si>
  <si>
    <t>Air untuk mandi / cuci warga di Desa bersumber dari lainnya</t>
  </si>
  <si>
    <t>Jumlah sumber energi terbarukan dimanfaatkan warga Desa</t>
  </si>
  <si>
    <t>Jumlah Rumah menggunakan sumber energi terbarukan dimanfaatkan warga Desa</t>
  </si>
  <si>
    <t>Jumlah kejadian Konflik antaragama</t>
  </si>
  <si>
    <t>Terdapat Penyandang Masalah Kesejahteraan Sosial (PMKS) PSK</t>
  </si>
  <si>
    <t>Air minum warga di Desa bersumber dari lainnya</t>
  </si>
  <si>
    <t>Jumlah kejadian Konflik lainnya</t>
  </si>
  <si>
    <t>Jumlah Penyandang Kebutuhan Khusus Tunagrahita Usia &lt;19 Tahun Masih Sekolah</t>
  </si>
  <si>
    <t>Jumlah Penyandang Kebutuhan Khusus Tunagrahita Usia &lt;19 Tahun Tidak Sekolah</t>
  </si>
  <si>
    <t>Jumlah Penyandang Kebutuhan Khusus Tunanetra Usia &lt;19 Tahun Masih Sekolah</t>
  </si>
  <si>
    <t>Jumlah Penyandang Kebutuhan Khusus Tunanetra Usia &lt;19 Tahun Tidak Sekolah</t>
  </si>
  <si>
    <t>Jumlah Penyandang Kebutuhan Khusus Tunarungu Usia &lt;19 Tahun Masih Sekolah</t>
  </si>
  <si>
    <t>Jumlah Penyandang Kebutuhan Khusus Tunarungu Usia &lt;19 Tahun Tidak Sekolah</t>
  </si>
  <si>
    <t>Jumlah Penyandang Kebutuhan Khusus Tunalaras Usia &lt;19 Tahun Masih Sekolah</t>
  </si>
  <si>
    <t>Jumlah Penyandang Kebutuhan Khusus Tunalaras Usia &lt;19 Tahun Tidak Sekolah</t>
  </si>
  <si>
    <t>Jumlah Penyandang Kebutuhan Khusus Tunadaksa Usia &lt;19 Tahun Masih Sekolah</t>
  </si>
  <si>
    <t>Jumlah Penyandang Kebutuhan Khusus Tunadaksa Usia &lt;19 Tahun Tidak Sekolah</t>
  </si>
  <si>
    <t>Pendididikan</t>
  </si>
  <si>
    <t>Layanan Kesehatan</t>
  </si>
  <si>
    <t>Ketersediaan rumah singgah / rumah tunggu untuk ibu hamil</t>
  </si>
  <si>
    <t>Tenaga Kesehatan</t>
  </si>
  <si>
    <t>Jamban</t>
  </si>
  <si>
    <t>Sumber Air Berasal dari Lainnya (Sebutkan)</t>
  </si>
  <si>
    <t>Jumlah Rumah Air minum warga di Desa bersumber dari air kemasan</t>
  </si>
  <si>
    <t>Jumlah Rumah Air minum warga di Desa bersumber dari air ledeng tanpa meteran/ Perpipaan Lainnya</t>
  </si>
  <si>
    <t>Jumlah Rumah Air minum warga di Desa bersumber dari sungai / danau / kolam</t>
  </si>
  <si>
    <t>Jumlah Rumah Air minum warga di Desa bersumber dari lainnya</t>
  </si>
  <si>
    <t>Jumlah Rumah  Air minum warga di Desa bersumber dari air ledeng (Perpipaan) dengan meteran (PAM/PDAM)</t>
  </si>
  <si>
    <t>Jumlah Rumah Air minum warga di Desa bersumber dari sumur bor / pompa</t>
  </si>
  <si>
    <t>Jumlah Rumah Air minum warga di Desa bersumber dari sumur</t>
  </si>
  <si>
    <t>Jumlah Rumah Air minum warga di Desa bersumber dari mata air</t>
  </si>
  <si>
    <t>Jumlah Rumah Air minum warga di Desa bersumber dari air hujan</t>
  </si>
  <si>
    <t>Sebutkan Sumber Air minum warga di Desa bersumber dari lainnya</t>
  </si>
  <si>
    <t>Sebutkan Air untuk mandi / cuci warga di Desa bersumber dari lainnya</t>
  </si>
  <si>
    <t>Layanan Listrik</t>
  </si>
  <si>
    <t>Sumber Energi Listrik dari Tenaga Diesel</t>
  </si>
  <si>
    <t>Layanan Internet</t>
  </si>
  <si>
    <t>Kualitas Jaringan Internet Operator/Provider Telkomsel</t>
  </si>
  <si>
    <t>Kualitas Jaringan Internet Operator/ Provider Indosat</t>
  </si>
  <si>
    <t>Kualitas Jaringan Internet Operator/ Provider XL Axiata</t>
  </si>
  <si>
    <t>Kualitas Jaringan Internet Operator/ Provider Axis</t>
  </si>
  <si>
    <t>Kualitas Jaringan Internet Operator/ Provider Smartfren</t>
  </si>
  <si>
    <r>
      <t xml:space="preserve">Operator / </t>
    </r>
    <r>
      <rPr>
        <i/>
        <sz val="11"/>
        <color rgb="FF000000"/>
        <rFont val="Calibri"/>
        <family val="2"/>
        <scheme val="minor"/>
      </rPr>
      <t>provider</t>
    </r>
    <r>
      <rPr>
        <sz val="11"/>
        <color rgb="FF000000"/>
        <rFont val="Calibri"/>
        <family val="2"/>
        <scheme val="minor"/>
      </rPr>
      <t xml:space="preserve"> telepon seluler lainnya dapat menerima sinyal</t>
    </r>
  </si>
  <si>
    <r>
      <t xml:space="preserve">Sebutkan Operator / </t>
    </r>
    <r>
      <rPr>
        <i/>
        <sz val="11"/>
        <color rgb="FF000000"/>
        <rFont val="Calibri"/>
        <family val="2"/>
        <scheme val="minor"/>
      </rPr>
      <t>provider</t>
    </r>
    <r>
      <rPr>
        <sz val="11"/>
        <color rgb="FF000000"/>
        <rFont val="Calibri"/>
        <family val="2"/>
        <scheme val="minor"/>
      </rPr>
      <t xml:space="preserve"> telepon seluler lainnya dapat menerima sinyal</t>
    </r>
  </si>
  <si>
    <t>Kualitas Jaringan Internet Operator/ Provider Lainnya</t>
  </si>
  <si>
    <t>Jika ada, Sebutkan Sarana informasi Lainnya terkait desa</t>
  </si>
  <si>
    <t>Permukiman</t>
  </si>
  <si>
    <t>Sosial</t>
  </si>
  <si>
    <t>Sebutkan Jika ada Warga yang menganut agama lain</t>
  </si>
  <si>
    <t>Sebutkan Mayoritas warga di Desa menghadiri perayaan adat budaya tertentu untuk acara / hari besar lainnya</t>
  </si>
  <si>
    <t>Jumlah kejadian Konflik antara kelompok masyarakat dengan aparat pemerintah</t>
  </si>
  <si>
    <t>Apa Kasus kejadian Konflik lainnya, Jika Ada</t>
  </si>
  <si>
    <t>Jika ada, Sebukan Peranan tokoh lainnya menjadi mediator / penengah dalam penyelesaian Konflik massal</t>
  </si>
  <si>
    <t>Terdapat tindak kejahatan pencurian</t>
  </si>
  <si>
    <t>Terdapat tindak kejahatan penipuan/ penggelapan</t>
  </si>
  <si>
    <t xml:space="preserve"> Terdapat tindak kejahatan penganiayaan</t>
  </si>
  <si>
    <t>Terdapat tindak kejahatan pembakaran</t>
  </si>
  <si>
    <t>Terdapat tindak kejahatan pemerkosaan</t>
  </si>
  <si>
    <t>Terdapat tindak kejahatan peredaran narkoba/ penyalahgunaan</t>
  </si>
  <si>
    <t>Terdapat tindak kejahatan perjudian</t>
  </si>
  <si>
    <t>Terdapat tindak kejahatan pembunuhan</t>
  </si>
  <si>
    <t>Terdapat tindak kejahatan perdagangan orang</t>
  </si>
  <si>
    <t>Pemanfaatan fasilitas perpustakaan Desa / taman bacaan masyarakat</t>
  </si>
  <si>
    <t>Taman Baca/ Perpustakaan</t>
  </si>
  <si>
    <t>Jumlah Penyandang Kebutuhan Khusus Tunagrahita Laki-laki</t>
  </si>
  <si>
    <t>Jumlah Penyandang Kebutuhan Khusus Tunagrahita Perempuan</t>
  </si>
  <si>
    <t>Jumlah Penyandang Kebutuhan Khusus Tunanetra Laki-Laki</t>
  </si>
  <si>
    <t>Jumlah Penyandang Kebutuhan Khusus Tunanetra Perempuan</t>
  </si>
  <si>
    <t>Jumlah Penyandang Kebutuhan Khusus Tunarungu Laki-Laki</t>
  </si>
  <si>
    <t>Jumlah Penyandang Kebutuhan Khusus Tunarungu Perempuan</t>
  </si>
  <si>
    <t>Jumlah Penyandang Kebutuhan Khusus Tunalaras Laki-laki</t>
  </si>
  <si>
    <t>Jumlah Penyandang Kebutuhan Khusus Tunalaras Perempuan</t>
  </si>
  <si>
    <t>Jumlah Penyandang Kebutuhan Khusus Tunadaksa Laki-laki</t>
  </si>
  <si>
    <t>Jumlah Penyandang Kebutuhan Khusus Tunadaksa Perempuan</t>
  </si>
  <si>
    <t>Jumlah Penyandang Disabilitas bawaan lahir</t>
  </si>
  <si>
    <t>Jumlah Penyandang Disabilitas akibat Kecelakaan</t>
  </si>
  <si>
    <t>Apakah pemerintah Desa memiliki aturan atau kegiatan layanan khusus penyandang difabel?</t>
  </si>
  <si>
    <t>Apakan aturan atau kegiatan layanan khusus penyandang difabel tersebut bermanfaat?</t>
  </si>
  <si>
    <t>Ekonomi</t>
  </si>
  <si>
    <t>Terdapat Produk Unggulan Tanaman Pangan Padi</t>
  </si>
  <si>
    <t>Terdapat Produk Unggulan Tanaman Pangan Jagung</t>
  </si>
  <si>
    <t>Terdapat Produk Unggulan Tanaman Pangan Kedelai</t>
  </si>
  <si>
    <t>Terdapat Produk Unggulan Tanaman Pangan Kacang Tanah</t>
  </si>
  <si>
    <t>Terdapat Produk Unggulan Tanaman Pangan Kacang Hijau</t>
  </si>
  <si>
    <t>Terdapat Produk Unggulan Tanaman Pangan Ubi Jalar</t>
  </si>
  <si>
    <t>Terdapat Produk Unggulan Tanaman Pangan Ubi Kayu</t>
  </si>
  <si>
    <t>Terdapat Produk Unggulan Tanaman Pangan Melinjo</t>
  </si>
  <si>
    <t>Terdapat Produk Unggulan Tanaman Pangan Pete</t>
  </si>
  <si>
    <t>Terdapat Produk Unggulan Tanaman Pangan Jengkol</t>
  </si>
  <si>
    <t>Terdapat Produk Unggulan Tanaman Pangan Talas</t>
  </si>
  <si>
    <t>Terdapat Produk Unggulan Tanaman Pangan Merica</t>
  </si>
  <si>
    <t>Terdapat Produk Unggulan Tanaman Pangan Kentang</t>
  </si>
  <si>
    <t>Terdapat Produk Unggulan Tanaman Pangan Wortel</t>
  </si>
  <si>
    <t>Terdapat Produk Unggulan Tanaman Pangan Sorgum</t>
  </si>
  <si>
    <t>Terdapat Produk Unggulan Tanaman Pangan Sagu</t>
  </si>
  <si>
    <t>Terdapat Produk Unggulan Tanaman Pangan Gandum</t>
  </si>
  <si>
    <t>Terdapat Produk Unggulan Tanaman Pangan Sukun</t>
  </si>
  <si>
    <t>Terdapat Produk Unggulan Tanaman Pangan Lainnya</t>
  </si>
  <si>
    <t>Terdapat Produk Unggulan Buah Tomat</t>
  </si>
  <si>
    <t>Terdapat Produk Unggulan Buah Semangka</t>
  </si>
  <si>
    <t>Terdapat Produk Unggulan Buah Jeruk Nipis</t>
  </si>
  <si>
    <t>Terdapat Produk Unggulan Buah Jeruk Lemon</t>
  </si>
  <si>
    <t>Terdapat Produk Unggulan Buah Jeruk Lokal</t>
  </si>
  <si>
    <t>Terdapat Produk Unggulan Buah Jeruk Bali</t>
  </si>
  <si>
    <t>Terdapat Produk Unggulan Buah Mangga Manalagi</t>
  </si>
  <si>
    <t>Terdapat Produk Unggulan Buah Mangga Alpukat</t>
  </si>
  <si>
    <t>Terdapat Produk Unggulan Buah Mangga Harumanis</t>
  </si>
  <si>
    <t>Terdapat Produk Unggulan Buah Mangga Gedonggincu</t>
  </si>
  <si>
    <t>Terdapat Produk Unggulan Buah Mangga Malibu</t>
  </si>
  <si>
    <t>Terdapat Produk Unggulan Buah Mangga Apel</t>
  </si>
  <si>
    <t>Terdapat Produk Unggulan Buah Mangga Lokal</t>
  </si>
  <si>
    <t>Terdapat Produk Unggulan Buah Melon</t>
  </si>
  <si>
    <t>Terdapat Produk Unggulan Buah Stroberi</t>
  </si>
  <si>
    <t>Terdapat Produk Unggulan Buah Rambutan</t>
  </si>
  <si>
    <t>Terdapat Produk Unggulan Buah Pepaya</t>
  </si>
  <si>
    <t>Terdapat Produk Unggulan Buah Jambu</t>
  </si>
  <si>
    <t>Terdapat Produk Unggulan Buah Pisang</t>
  </si>
  <si>
    <t>Terdapat Produk Unggulan Buah Nanas</t>
  </si>
  <si>
    <t>Terdapat Produk Unggulan Buah Apel</t>
  </si>
  <si>
    <t>Terdapat Produk Unggulan Buah Anggur</t>
  </si>
  <si>
    <t>Terdapat Produk Unggulan Buah Alpukat</t>
  </si>
  <si>
    <t>Terdapat Produk Unggulan Buah Durian Montong</t>
  </si>
  <si>
    <t>Terdapat Produk Unggulan Buah Durian Petruk</t>
  </si>
  <si>
    <t>Terdapat Produk Unggulan Buah Durian Bawor</t>
  </si>
  <si>
    <t>Terdapat Produk Unggulan Buah Durian Musangking</t>
  </si>
  <si>
    <t>Terdapat Produk Unggulan Buah Durian Bokor</t>
  </si>
  <si>
    <t>Terdapat Produk Unggulan Buah Salak</t>
  </si>
  <si>
    <t>Terdapat Produk Unggulan Buah Nangka</t>
  </si>
  <si>
    <t>Terdapat Produk Unggulan Buah Naga</t>
  </si>
  <si>
    <t>Produk Unggulan Buah Lainnya</t>
  </si>
  <si>
    <t>Terdapat Produk Unggulan Bawang Merah</t>
  </si>
  <si>
    <t>Terdapat Produk Unggulan Bawang Putih</t>
  </si>
  <si>
    <t>Terdapat Produk Unggulan Kubis</t>
  </si>
  <si>
    <t>Terdapat Produk Unggulan Bayam</t>
  </si>
  <si>
    <t>Terdapat Produk Unggulan Kelor</t>
  </si>
  <si>
    <t>Terdapat Produk Unggulan Kangkung</t>
  </si>
  <si>
    <t>Terdapat Produk Unggulan Kol</t>
  </si>
  <si>
    <t>Terdapat Produk Unggulan Selada</t>
  </si>
  <si>
    <t>Terdapat Produk Unggulan Mentimun/Timun/Ketimun</t>
  </si>
  <si>
    <t>Terdapat Produk Unggulan Buncis</t>
  </si>
  <si>
    <t>Terdapat Produk Unggulan Brokoli</t>
  </si>
  <si>
    <t>Terdapat Produk Unggulan Toge</t>
  </si>
  <si>
    <t>Terdapat Produk Unggulan Seledri</t>
  </si>
  <si>
    <t>Terdapat Produk Unggulan Kemangi</t>
  </si>
  <si>
    <t>Terdapat Produk Unggulan Sawi</t>
  </si>
  <si>
    <t>Terdapat Produk Unggulan Cabai Keriting</t>
  </si>
  <si>
    <t>Terdapat Produk Unggulan Cabai Rawit</t>
  </si>
  <si>
    <t>Terdapat Produk Unggulan Tanaman Sayur Cabai Lokal</t>
  </si>
  <si>
    <t>Terdapat Produk Unggulan Tanaman Sayur Pare</t>
  </si>
  <si>
    <t>Terdapat Produk Unggulan Tanaman Sayur Kacang Panjang</t>
  </si>
  <si>
    <t>Terdapat Produk Unggulan Tanaman Sayur Terong</t>
  </si>
  <si>
    <t>Terdapat Produk Unggulan Tanaman Sayur Rebung</t>
  </si>
  <si>
    <t>Terdapat Produk Unggulan Tanaman Sayur Lainnya</t>
  </si>
  <si>
    <t>Terdapat Produk Unggulan Tanaman Obat Jahe</t>
  </si>
  <si>
    <t>Terdapat Produk Unggulan Tanaman Obat Jahe Merah</t>
  </si>
  <si>
    <t>Terdapat Produk Unggulan Tanaman Obat Kunyit</t>
  </si>
  <si>
    <t>Terdapat Produk Unggulan Tanaman Obat Kunyit Putih</t>
  </si>
  <si>
    <t>Terdapat Produk Unggulan Tanaman Obat lengkuas/ Laos</t>
  </si>
  <si>
    <t>Terdapat Produk Unggulan Tanaman Obat Kencur</t>
  </si>
  <si>
    <t>Terdapat Produk Unggulan Tanaman Obat Temulawak</t>
  </si>
  <si>
    <t>Terdapat Produk Unggulan Tanaman Obat Lidah Buaya</t>
  </si>
  <si>
    <t>Terdapat Produk Unggulan Tanaman Obat Kumis Kucing</t>
  </si>
  <si>
    <t>Terdapat Produk Unggulan Tanaman Obat Kemangi</t>
  </si>
  <si>
    <t>Terdapat Produk Unggulan Tanaman Obat Sirih</t>
  </si>
  <si>
    <t>Terdapat Produk Unggulan Tanaman Obat Ketumbar</t>
  </si>
  <si>
    <t>Terdapat Produk Unggulan Tanaman Obat Sambiloto</t>
  </si>
  <si>
    <t>Terdapat Produk Unggulan Tanaman Obat Gingko Giloba</t>
  </si>
  <si>
    <t>Terdapat Produk Unggulan Tanaman Obat Bangle</t>
  </si>
  <si>
    <t>Terdapat Produk Unggulan Tanaman Obat Mengkudu</t>
  </si>
  <si>
    <t>Terdapat Produk Unggulan Tanaman Obat Kayu Manis</t>
  </si>
  <si>
    <t>Terdapat Produk Unggulan Tanaman Obat Jintan Hitam</t>
  </si>
  <si>
    <t>Terdapat Produk Unggulan Tanaman Obat Kapulaga</t>
  </si>
  <si>
    <t>Terdapat Produk Unggulan Tanaman Obat Sereh</t>
  </si>
  <si>
    <t>Terdapat Produk Unggulan Tanaman Obat Lainnya</t>
  </si>
  <si>
    <t>Mayoritas Peralatan Teknologi Tepat Guna pertanian yang digunakan di Desa</t>
  </si>
  <si>
    <t>Produk Unggulan Tanaman Pangan Lainnya (Sebutkan)</t>
  </si>
  <si>
    <t>Nama Jeruk Lokal (sebutkan)</t>
  </si>
  <si>
    <t>Nama Buah Mangga Lokal (Sebutkan)</t>
  </si>
  <si>
    <t>Produk Unggulan Buah Lainnya (Sebutkan)</t>
  </si>
  <si>
    <t>Nama Cabai Lokal (sebutkan)</t>
  </si>
  <si>
    <t>Produk Unggulan Tanaman Sayur Lainnya (Sebutkan)</t>
  </si>
  <si>
    <t>Produk Unggulan Tanaman Obat Lainnya (Sebutkan)</t>
  </si>
  <si>
    <t>Mayoritas Peralatan Teknologi Tepat Guna petenakan yang digunakan di Desa</t>
  </si>
  <si>
    <t>Apakah pelaku usaha di desa memanfaatkan internet untuk mempromosikan produk atau jasa mereka, seperti melalui media sosial atau e-commerce?</t>
  </si>
  <si>
    <t>Total Produksi dalam 1 Tahun Terakhir</t>
  </si>
  <si>
    <t>Mayoritas Peralatan Teknologi Tepat Guna perikanan yang digunakan di Desa</t>
  </si>
  <si>
    <t>Apakah masyarakat desa mendapatkan pelatihan atau literasi digital untuk meningkatkan kemampuan mereka dalam memanfaatkan internet untuk kegiatan ekonomi?</t>
  </si>
  <si>
    <t>Total Produksi Panen dalam 1 Tahun Terakhir</t>
  </si>
  <si>
    <t>Apakah desa memiliki akses ke platform digital atau marketplace lokal yang mendukung pemasaran produk desa</t>
  </si>
  <si>
    <t>Jumlah peralatan Tekonologi Tepat Guna pertanian di Desa</t>
  </si>
  <si>
    <t>Jumlah alat bantu Tekonologi Tepat Guna  peternakan di Desa</t>
  </si>
  <si>
    <t>Jumlah alat bantu Tekonologi Tepat Guna  Perikanan di Desa</t>
  </si>
  <si>
    <t>Desa Melakukan Kerjasama Antar Desa Dalam Satu Kecamatan</t>
  </si>
  <si>
    <t>Desa Melakukan Kerjasama Antar Desa Diluar Kecamatan</t>
  </si>
  <si>
    <t>Terdapat Kerjasama Desa/ BUMDes dengan Pihak Ketiga</t>
  </si>
  <si>
    <t>Bidang Kerjasama</t>
  </si>
  <si>
    <t>Desa Melakukan Kerjasama Eks PNPM</t>
  </si>
  <si>
    <t>Jumlah pusat kursus atau pusat pelatihan keterampilan khusus di Desa</t>
  </si>
  <si>
    <t>Status Keaktifan BKAD *)</t>
  </si>
  <si>
    <t>Status Keaktifan BKAD</t>
  </si>
  <si>
    <t>Desa/ Bumdes Kerjasama dengan Pihak Swasta</t>
  </si>
  <si>
    <t>Bidang Kerjasama Lainnya</t>
  </si>
  <si>
    <t>Jarak tempuh menuju pusat kursus atau pusat pelatihan keterampilan khusus terdekat</t>
  </si>
  <si>
    <t>Jumlah pasar tanpa bangunan di Desa</t>
  </si>
  <si>
    <t>Nama BKAD</t>
  </si>
  <si>
    <t>Desa/ Bumdes Kerjasama dengan Pihak Organisasi (LSM)</t>
  </si>
  <si>
    <t>Dasar Pembentukan BKAD (Permakades)</t>
  </si>
  <si>
    <t>Desa/ Bumdes Kerjasama dengan Pihak Perguruan Tinggi</t>
  </si>
  <si>
    <t>Nomor Peraturan Pembentukan</t>
  </si>
  <si>
    <t>Desa/ Bumdes Kerjasama dengan Pihak BUMN</t>
  </si>
  <si>
    <t>Nomor Peraturan Pembentukan BKAD</t>
  </si>
  <si>
    <t>Unit Usaha yang Dilakukan</t>
  </si>
  <si>
    <t>Desa/ Bumdes Kerjasama dengan Pihak Lainnya (Sebutkan)</t>
  </si>
  <si>
    <t>Persentase Bagi Hasil yang diterima desa per tahun</t>
  </si>
  <si>
    <t>Penggunaan Bagi Hasil</t>
  </si>
  <si>
    <t>Penggunaan Bagi Hasil Lainnya Sebutkan</t>
  </si>
  <si>
    <t>Pendukung Ekonomi</t>
  </si>
  <si>
    <t>Jenis Program Kerja Yang Dilaksanakan</t>
  </si>
  <si>
    <t>Jenis Program Kerja Yang Dilaksanakan Lainnya (Sebutkan)</t>
  </si>
  <si>
    <t>Komoditas Tanaman Pangan Unggulan Pertama Masuk Pasar Modern (Domenstik)</t>
  </si>
  <si>
    <t>Komoditas Tanaman Pangan Unggulan Kedua Masuk Pasar Modern (Domestik)</t>
  </si>
  <si>
    <t>Komoditas Tanaman Buah Unggulan Pertama Masuk Pasar Modern (Domestik)</t>
  </si>
  <si>
    <t>Komoditas Tanaman Buah Unggulan Kedua Masuk Pasar Modern (Domestik)</t>
  </si>
  <si>
    <t>Komoditas Tanaman Sayur Unggulan Pertama Masuk Pasar Modern (Domestik)</t>
  </si>
  <si>
    <t>Komoditas Tanaman Sayur Unggulan Kedua Masuk Pasar Modern (Domestik)</t>
  </si>
  <si>
    <t>Komoditas Tanaman Obat Unggulan Pertama Masuk Pasar Modern (Domestik)</t>
  </si>
  <si>
    <t>Komoditas Tanaman Obat Unggulan Kedua Masuk Pasar Modern (Domestik)</t>
  </si>
  <si>
    <t>Komoditas Tanaman Pangan Unggulan Pertama Masuk Pasar Modern (Ekspor)</t>
  </si>
  <si>
    <t>Komoditas Tanaman Pangan Unggulan Kedua Masuk Pasar Modern (Ekspor)</t>
  </si>
  <si>
    <t>Total Tanaman Pangan Unggulan Pertama yang dipasarkan ke Pasar Modern dalam 1 Tahun Terakhir</t>
  </si>
  <si>
    <t>Total Tanaman Pangan Unggulan Kedua yang dipasarkan ke Pasar Modern dalam 1 Tahun Terakhir</t>
  </si>
  <si>
    <t>Total Tanaman Buah Unggulan Pertama yang dipasarkan ke Pasar Modern dalam 1 Tahun Terakhir</t>
  </si>
  <si>
    <t>Jumlah Tanaman Pangan Unggulan Kedua yang dipasarkan ke Pasar Modern dalam 1 Tahun Terakhir</t>
  </si>
  <si>
    <t>Total Tanaman Sayur Unggulan Pertama yang dipasarkan ke Pasar Modern dalam 1 Tahun Terakhir</t>
  </si>
  <si>
    <t>TotalTanaman Sayur Unggulan Kedua yang dipasarkan ke Pasar Modern dalam 1 Tahun Terakhir</t>
  </si>
  <si>
    <t>Total Tanaman Obat Unggulan Pertama yang dipasarkan ke Pasar Modern dalam 1 Tahun Terakhir</t>
  </si>
  <si>
    <t>Total Tanaman Obat Unggulan Kedua yang dipasarkan ke Pasar Modern dalam 1 Tahun Terakhir</t>
  </si>
  <si>
    <t>Wilayah Tujuan Pasar Domestik Perdagangan Tanaman Pangan Unggulan Pertama</t>
  </si>
  <si>
    <t>Wilayah Tujuan Perdagangan Tanaman Pangan Unggulan Kedua</t>
  </si>
  <si>
    <t>Wilayah Tujuan Pasar Domestik Perdagangan Tanaman Buah Unggulan Pertama</t>
  </si>
  <si>
    <t>Wilayah Tujuan Perdagangan Tanaman Buah Unggulan Kedua</t>
  </si>
  <si>
    <t>Wilayah Tujuan Pasar Domestik Perdagangan Tanaman Sayur Unggulan Pertama</t>
  </si>
  <si>
    <t>Wilayah Tujuan Perdagangan Tanaman Sayur Unggulan Kedua</t>
  </si>
  <si>
    <t>Wilayah Tujuan Pasar Domestik Perdagangan Tanaman Obat Unggulan Pertama</t>
  </si>
  <si>
    <t>Wilayah Tujuan Perdagangan Tanaman Obat Unggulan Kedua</t>
  </si>
  <si>
    <t>Toko/Kedai/Penginapan</t>
  </si>
  <si>
    <t>Terdapat Agen Penjual LPG/Minyak Tanah</t>
  </si>
  <si>
    <t>Terdapat Gudang Pangan Milik Pribadi</t>
  </si>
  <si>
    <t>Terdapat Gudang Pangan Milik Swasta</t>
  </si>
  <si>
    <t>Terdapat Gudang Pangan Milik Pemerintah</t>
  </si>
  <si>
    <t>Jumlah Gudang Pangan Milik Pribadi di desa</t>
  </si>
  <si>
    <t>Jumlah Gudang Pangan Milik Swasta di desa</t>
  </si>
  <si>
    <t>Jumlah Gudang Pangan Milik Pemerintah di desa</t>
  </si>
  <si>
    <t>Total Kapasitas Gudang Pangan Milik Pribadi di desa</t>
  </si>
  <si>
    <t>Total Kapasitas Gudang Pangan Milik Swasta di desa</t>
  </si>
  <si>
    <t>Total Kapasitas Gudang Pangan Milik Pemerintah di desa</t>
  </si>
  <si>
    <t>Nama BUMDesa</t>
  </si>
  <si>
    <t>Nama BUMDesa Bersama</t>
  </si>
  <si>
    <t xml:space="preserve">Terdapat Kantor Bumdesa Bersama di Desa </t>
  </si>
  <si>
    <t>BUMDesa Bisnis Sosial</t>
  </si>
  <si>
    <t>BUMDesa Jasa Penyewaan</t>
  </si>
  <si>
    <t>BUMDesa Perdagangan</t>
  </si>
  <si>
    <t>BUMDesa Keuangan</t>
  </si>
  <si>
    <t>BUMDesa Perantara (Layanan)</t>
  </si>
  <si>
    <t>BUMDesa Usaha</t>
  </si>
  <si>
    <t>BUMDesa Pariwisata</t>
  </si>
  <si>
    <t>Terdapat Bumdesa Bisnis Sosial Bidang Air Bersih</t>
  </si>
  <si>
    <t>Terdapat Bumdesa Jasa Sewa Gedung</t>
  </si>
  <si>
    <t>Terdapat Bumdesa Perdagangan Bidang Pertanian</t>
  </si>
  <si>
    <t>Terdapat Bumdesa Keuangan Simpan Pinjam</t>
  </si>
  <si>
    <t>Terdapat Bumdesa Perantara Bidang Jasa</t>
  </si>
  <si>
    <t>Terdapat Bumdesa Usaha Bidang Kelompok Usaha</t>
  </si>
  <si>
    <t>Terdapat Bumdesa Pariwisata Bidang Wisata Desa</t>
  </si>
  <si>
    <t>Terdapat Bumdesa Bisnis Sosial Bidang Listrik</t>
  </si>
  <si>
    <t>Terdapat Bumdesa Jasa Sewa Tenda</t>
  </si>
  <si>
    <t>Sebutkan Bumdesa Perdagangan Bidang Pertanian</t>
  </si>
  <si>
    <t>Terdapat Bumdesa Keuangan UED SP</t>
  </si>
  <si>
    <t>Terdapat Bumdesa Perantara Bidang Perbengkelan</t>
  </si>
  <si>
    <t>Terdapat Bumdesa Perantara Bidang Penjualan Tiket</t>
  </si>
  <si>
    <t>Terdapat Bumdesa Pariwisata Bidang Agrowisata</t>
  </si>
  <si>
    <t>Terdapat Bumdesa Bisnis Sosial Bidang Sampah</t>
  </si>
  <si>
    <t>Terdapat Bumdesa Jasa Sewa Peralatan Sound System</t>
  </si>
  <si>
    <t>Terdapat Bumdesa Perdagangan Bidang Perkebunan</t>
  </si>
  <si>
    <t>Terdapat Bumdesa Keuangan Mikro Finance</t>
  </si>
  <si>
    <t>Terdapat Bumdesa Perantara Toko/Kios</t>
  </si>
  <si>
    <t>Terdapat Bumdesa Perantara Bidang Karaoke</t>
  </si>
  <si>
    <t>Terdapat Bumdesa Pariwisata Bidang Wisata Alam</t>
  </si>
  <si>
    <t>Terdapat Bumdesa Bisnis Sosial Bidang Jasa</t>
  </si>
  <si>
    <t>Terdapat Bumdesa Jasa Sewa Peralatan Lainnya</t>
  </si>
  <si>
    <t>Sebutkan Bumdesa Perdagangan Bidang Perkebunan</t>
  </si>
  <si>
    <t>Terdapat Bumdesa Keuangan Brilink</t>
  </si>
  <si>
    <t>Terdapat Bumdesa Perantara Bidang Percetakan</t>
  </si>
  <si>
    <t>Terdapat Bumdesa Pariwisata Bidang Transpotasi</t>
  </si>
  <si>
    <t>Terdapat Bumdesa Perdagangan Bidang Peternakan</t>
  </si>
  <si>
    <t>Terdapat Bumdesa Keuangan Agen 46</t>
  </si>
  <si>
    <t>Terdapat Bumdesa Perantara Bidang Photo Copy</t>
  </si>
  <si>
    <t>Sebutkan Bumdesa Perdagangan Bidang Peternakan</t>
  </si>
  <si>
    <t xml:space="preserve">Terdapat Bumdesa Keuangan Kredit </t>
  </si>
  <si>
    <t>Terdapat Bumdesa Perantara Bidang Penggilingan Padi</t>
  </si>
  <si>
    <t>Terdapat Bumdesa Perdagangan Bidang Sembako</t>
  </si>
  <si>
    <t>Terdapat Bumdesa Keuangan Koperasi</t>
  </si>
  <si>
    <t>Terdapat Bumdesa Keuangan PPOB</t>
  </si>
  <si>
    <t>Omset Bumdes 1 Tahun Terakhir</t>
  </si>
  <si>
    <t>Omset Bumdes Bersama 1 Tahun Terakhir</t>
  </si>
  <si>
    <t>Ketersediaan program Makan Bergizi Gratis (MBG) di Desa</t>
  </si>
  <si>
    <t>Max 150rb</t>
  </si>
  <si>
    <t>Jumlah industri mikro dan kecil komoditas industri rumah tangga</t>
  </si>
  <si>
    <t>Jumlah industri mikro dan kecil komoditas pariwisata</t>
  </si>
  <si>
    <t>Jumlah industri mikro dan kecil komoditas perikanan</t>
  </si>
  <si>
    <t>Jumlah industri mikro dan kecil komoditas pertanian</t>
  </si>
  <si>
    <t>Jumlah industri mikro dan kecil komoditas peternakan</t>
  </si>
  <si>
    <t>Jumlah industri mikro dan kecil Lainnya di Desa</t>
  </si>
  <si>
    <t>Total industri mikro dan kecil di Desa</t>
  </si>
  <si>
    <t>Total industri menengah di Desa</t>
  </si>
  <si>
    <t>Terdapat Layanan Bank Umum Pemerintah di Desa</t>
  </si>
  <si>
    <t>Jarak Pelayanan Bank Umum Pemerintah Terdekat</t>
  </si>
  <si>
    <t>Terdapat Layanan Bank Swasta di Desa</t>
  </si>
  <si>
    <t xml:space="preserve"> Jarak pelayanan Bank Swasta Terdekat</t>
  </si>
  <si>
    <t>Terdapat Layanan Fasilitas Kredit Lainnya</t>
  </si>
  <si>
    <t>Apakah pemerintah Desa telah melakukan pengkajian risiko bencana?</t>
  </si>
  <si>
    <t>Apakah pengkajian risiko bencana tersebut bermanfaat?</t>
  </si>
  <si>
    <t>Apakah pemerintah Desa mengalokasikan anggaran untuk pembaruan pengkajian risiko bencana tersebut?</t>
  </si>
  <si>
    <t>Apakah pemerintah Desa bekerjasama dengan pihak lain untuk pengembangan/peningkatan pengkajian risiko bencana?</t>
  </si>
  <si>
    <t xml:space="preserve">Apakah pemerintah Desa bekerjasama dengan pihak lain dalam melaksanakan kegiatan pencegahan bencana? </t>
  </si>
  <si>
    <t>Frekuensi Kejadian Bencana Tanah Longsor</t>
  </si>
  <si>
    <t>Frekuensi Kejadian Bencana Banjir</t>
  </si>
  <si>
    <t>Frekuensi Kejadian Bencana Gempa Bumi</t>
  </si>
  <si>
    <t>Frekuensi Kejadian Bencana Tsunami</t>
  </si>
  <si>
    <t>Frekuensi Kejadian Bencana Gelombang Pasang Laut</t>
  </si>
  <si>
    <t>Frekuensi Kejadian Bencana Angin Puyuh / Puting Beliung / Topan</t>
  </si>
  <si>
    <t>Frekuensi Kejadian Bencana Gunung Meletus</t>
  </si>
  <si>
    <t>Frekuensi Kejadian Bencana Kebakaran Hutan</t>
  </si>
  <si>
    <t>Frekuensi Kejadian Bencana Kekeringan Lahan</t>
  </si>
  <si>
    <t>Kejadian Bencana Lainnya dalam Setahun Terakhir</t>
  </si>
  <si>
    <t>Frekuensi Kejadian Bencana Lainnya</t>
  </si>
  <si>
    <t>Sebutkan Kejadian Bencana Lainnya di Desa</t>
  </si>
  <si>
    <t>Terdapat Fasilitas Mitigasi Bencana Alam di Desa Berupa Sistem Peringatan Dini Khusus Tsunami</t>
  </si>
  <si>
    <t>Apakah penyebarluasan peringatan bahaya tersebut dapat menjangkau semua masyarakat tanpa kecuali? Termasuk difable dan kelompok rentan lainnya?</t>
  </si>
  <si>
    <t>Apakah pemerintah Desa mengalokasikan anggaran untuk keberlanjutan penyebarluasan peringatan bahaya tersebut?</t>
  </si>
  <si>
    <t xml:space="preserve">Apakah pemerintah Desa bekerjasama dengan pihak lain untuk pengembangan/peningkatan penyebarluasan peringatan bahaya tersebut? </t>
  </si>
  <si>
    <t>Apakah pemerintah Desa memperoleh/ mendapatkan/ menerima peringatan bahaya sebelum terjadi bencana?</t>
  </si>
  <si>
    <t>Apakah peringatan bahaya tersebut bermanfaat?</t>
  </si>
  <si>
    <t>Apakah pemerintah Desa mengalokasikan anggaran untuk keberlanjutan penerimaan peringatan bahaya tersebut?</t>
  </si>
  <si>
    <t>Apakah pemerintah Desa bekerjasama dengan pihak lain untuk pengembangan/peningkatan  peringatan bahaya tersebut?</t>
  </si>
  <si>
    <t>Apakah pemerintah Desa memiliki rencana evakuasi jika terjadi bencana?</t>
  </si>
  <si>
    <t>Apakah rencana evakuasi tersebut bermanfaat/berfungsi untuk penyelamatan diri saat bencana?</t>
  </si>
  <si>
    <t>Apakah pemerintah Desa mengalokasikan anggaran untuk keberfungsian rencana evakuasi tersebut?</t>
  </si>
  <si>
    <t>Apakah pemerintah Desa bekerjasama dengan pihak lain dalam pengembangan/peningkatan rencana evakuasi tersebut?</t>
  </si>
  <si>
    <t>Terdapat Fasilitas Mitigasi Bencana Alam di Desa Berupa Jalur Evakuasi</t>
  </si>
  <si>
    <t>Apakah jalur evakuasi tersebut bermanfaat ?</t>
  </si>
  <si>
    <t>Apakah pemerintah Desa mengalokasikan anggaran untuk pemeliharaan jalur evakuasi tersebut?</t>
  </si>
  <si>
    <t>Apakah pemerintah Desa bekerjasama pihak lain untuk pengembangan/peningkatan jalur evakuasi tersebut?</t>
  </si>
  <si>
    <t>Apakah di Desa tersedia tempat pengungsian bencana?</t>
  </si>
  <si>
    <t>Apakah tempat pengungsian tersebut bermanfaat untuk menyelamatkan diri dari bencana?</t>
  </si>
  <si>
    <t>Apakah pemerintah Desa mengalokasikan anggaran untuk keberlanjutan fungsi tempat pengungsian tersebut?</t>
  </si>
  <si>
    <t>Apakah pemerintah Desa bekerjasama dengan pihak lain dalam pengembangan/peningkatan tempat pengungsian tersebut?</t>
  </si>
  <si>
    <t xml:space="preserve">Uji Kesiapsiagaan/ Simulasi </t>
  </si>
  <si>
    <t>Apakah telah dilakukan kegiatan mitigasi bencana?</t>
  </si>
  <si>
    <t xml:space="preserve">Apakah pemerintah Desa mengalokasikan anggaran untuk keberlanjutan penyelenggaraan kegiatan mitigasi bencana? </t>
  </si>
  <si>
    <t>Apakah pemerintah Desa bekerjasama dengan pihak lain dalam melaksanakan kegiatan mitigasi bencana?</t>
  </si>
  <si>
    <t>Apakah pemerintah Desa memiliki Rencana Penanggulangan Bencana?</t>
  </si>
  <si>
    <t>Apakah rencana penanggulangan bencana tersebut bermanfaat?</t>
  </si>
  <si>
    <t>Apakah pemerintah Desa mengalokasikan anggaran untuk keberlanjutan penerapan Rencana Penanggulangan Bencana tersebut?</t>
  </si>
  <si>
    <t>Apakah pemerintah Desa bekerjasama dengan pihak lain dalam pengembangan/peningkatan pelaksanaan rencana penanggulangan bencana tersebut?</t>
  </si>
  <si>
    <t>Apakah pemerintah Desa menyelenggarakan latihan-latihan penanggulangan bencana?</t>
  </si>
  <si>
    <t>Apakah latihan-latihan penanggulangan bencana tersebut bermanfaat?</t>
  </si>
  <si>
    <t>Apakah pemerintah Desa mengalokasikan anggaran untuk keberlanjutan latihan-latihan penanggulangan bencana?</t>
  </si>
  <si>
    <t>Apakah pemerintah Desa bekerjasama dengan pihak lain dalam pengembangan/peningkatan latihan-latihan penanggulangan bencana?</t>
  </si>
  <si>
    <t>Apakah pemerintah Desa menerima bantuan atau kerjasama dengan pihak luar dalam pelaksanaan kegiatan penanggulangan bencana?</t>
  </si>
  <si>
    <t>Apakah bantuan atau kerjasama kegiatan penanggulangan bencana tersebut bermanfaat?</t>
  </si>
  <si>
    <t>Apakah pemerintah Desa mengalokasikan anggaran untuk keberlanjutan kegiatan hasil bantuan atau kerjasama tersebut?</t>
  </si>
  <si>
    <t>Apakah pemerintah Desa meningkatkan kerjasama dengan pihak lain dalam kegiatan penanggulangan bencana?</t>
  </si>
  <si>
    <t>Apakah ada sosialisasi pengetahuan kebencanaan yang sesuai dengan bahaya yang ada di desa?</t>
  </si>
  <si>
    <t>Apakah sosialisasi pengetahuan kebencanaan tersebut bermanfaat?</t>
  </si>
  <si>
    <t>Apakah pemerintah Desa mengalokasikan anggaran untuk keberlanjutan penyelenggaraan sosialisasi pengetahuan kebencanaan?</t>
  </si>
  <si>
    <t>Apakah pemerintah Desa bekerjasama dengan pihak lain dalam melaksanakan sosialisasi pengetahuan kebencanaan?</t>
  </si>
  <si>
    <t>Apakah sudah ada mekanisme untuk menilai kerusakan dan kerugian pasca bencana secara mandiri untuk rumah, perekonomian, atau fasilitas layanan dasar yang rusak?</t>
  </si>
  <si>
    <t>Apakah mekanisme untuk menilai kerusakan dan kerugian pasca bencana secara mandiri dapat bermanfaat/bisa diandalkan?</t>
  </si>
  <si>
    <t>Apakah pemerintah Desa mengalokasikan anggaran untuk keberlanjutan penyelenggaraan mekanisme penilaian kerusakan dan kerugian pasca bencana secara mandiri?</t>
  </si>
  <si>
    <t>Apakah pemerintah Desa bekerjasama dengan pihak lain untuk pengembangan/peningkatan mekanisme penilaian kerusakan dan kerugian pasca bencana secara mandiri?</t>
  </si>
  <si>
    <t>Apakah sudah ada mekanisme untuk pemulihan dini secara mandiri untuk fungsi-fungsi layanan dasar yang rusak?</t>
  </si>
  <si>
    <t xml:space="preserve">Apakah mekanisme untuk pemulihan dini secara mandiri bermanfaat/bisa diandalkan? </t>
  </si>
  <si>
    <t>Apakah pemerintah Desa mengalokasikan anggaran untuk keberlanjutan penyelenggaraan mekanisme pemulihan dini secara mandiri?</t>
  </si>
  <si>
    <t xml:space="preserve">Apakah pemerintah Desa bekerjasama dengan pihak lain untuk pengembangan/peningkatan mekanisme pemulihan dini secara mandiri? </t>
  </si>
  <si>
    <t>Apakah sudah ada mekanisme untuk pengelolaan bantuan secara mandiri yang transparan dan akuntabel?</t>
  </si>
  <si>
    <t>Apakah mekanisme untuk pengelolaan bantuan secara mandiri yang transparan dan akuntabel tersebut bermanfaat/bisa diandalkan?</t>
  </si>
  <si>
    <t xml:space="preserve">Apakah pemerintah Desa mengalokasikan anggaran untuk keberlanjutan penyelenggaraan mekanisme pengelolaan bantuan secara mandiri yang transparan dan akuntabel? </t>
  </si>
  <si>
    <t xml:space="preserve">Apakah pemerintah Desa bekerjasama dengan pihak lain untuk pengembangan/peningkatan mekanisme pengelolaan bantuan secara mandiri yang transparan dan akuntabel? </t>
  </si>
  <si>
    <t>Apakah ada rencana untuk membangun fasilitas layanan dasar yang berada di daerah rawan secara lebih baik pasca bencana?</t>
  </si>
  <si>
    <t>Apakah rencana untuk membangun fasilitas tersebut secara lebih kuat dan aman pasca bencana dapat bermanfaat/bisa diandalkan?</t>
  </si>
  <si>
    <t xml:space="preserve">Apakah pemerintah Desa mengalokasikan anggaran untuk keberlanjutan rencana untuk membangun fasilitas tersebut secara lebih kuat dan aman pasca bencana? </t>
  </si>
  <si>
    <t xml:space="preserve">Apakah pemerintah Desa bekerjasama dengan pihak lain untuk pengembangan/peningkatan rencana untuk membangun fasilitas tersebut secara lebih kuat dan aman pasca bencana? </t>
  </si>
  <si>
    <t>Sumber Energi Penerangan Jalan Umum dari PLN</t>
  </si>
  <si>
    <t>Sumber Energi Penerangan Jalan Umum dari Diesel Non PLN</t>
  </si>
  <si>
    <t>Sumber Energi Penerangan Jalan Umum dari EBT Non PLN</t>
  </si>
  <si>
    <t>Sumber Pendapatan Desa</t>
  </si>
  <si>
    <t>Pendapatan Asli Desa Tahun 2025</t>
  </si>
  <si>
    <t>Pendapatan Asli Desa Tahun 2024</t>
  </si>
  <si>
    <t>Dana Desa (DD) Tahun 2025</t>
  </si>
  <si>
    <t>Dana Desa (DD) Tahun 2024</t>
  </si>
  <si>
    <t>Bagi Hasil Pajak dan Retribusi Daerah Tahun 2025</t>
  </si>
  <si>
    <t>Bagi Hasil Pajak dan Retribusi Daerah Tahun 2024</t>
  </si>
  <si>
    <t>Alokasi Dana Desa Tahun 2025</t>
  </si>
  <si>
    <t>Alokasi Dana Desa Tahun 2024</t>
  </si>
  <si>
    <t>Bantuan Provinsi Tahun 2025</t>
  </si>
  <si>
    <t>Bantuan Provinsi Tahun 2024</t>
  </si>
  <si>
    <t>Bantuan Kabupaten/Kota Tahun 2025</t>
  </si>
  <si>
    <t>Bantuan Kabupaten/Kota Tahun 2024</t>
  </si>
  <si>
    <t>Lain-lain Tahun 2025</t>
  </si>
  <si>
    <t>Lain-lain Tahun 2024</t>
  </si>
  <si>
    <t>Aset Desa</t>
  </si>
  <si>
    <t>Desa memiliki Aset berupa Bangunan Balai Desa</t>
  </si>
  <si>
    <t xml:space="preserve">Terdapat Pasar Hewan </t>
  </si>
  <si>
    <t>Terdapat Pasar Pelelangan Ikan</t>
  </si>
  <si>
    <t>Terdapat Pasar Pelelangan Hasil Pertanian</t>
  </si>
  <si>
    <t>Apakah Musyawarah Desa dihadiri oleh unsur masyarakat (tokoh adat/tokoh agama/tokoh masyarakat/tokoh pendidikan/kelompok tani/kelompok nelayan/kelompok perajin/) atau unsur masyarakat lainnya (kelompok perempuan /kelompok penyandang disabilitas/kelompok lanjut usia/kelompok masyarakat miskin)</t>
  </si>
  <si>
    <t>DATA GEOGRAFI, TOPOGRAFI, DAN DEMOGRAFI</t>
  </si>
  <si>
    <t>Keterangan Terkait Perjalanan dari Kantor Desa Ke Kantor Kecamatan
(misal; jika mengharuskan Melaui Jalur Udara/Laut/Sungai dilanjutkan menggunakan Kendaraan Umum/ \Sewa dll)</t>
  </si>
  <si>
    <t>Keterangan Terkait Perjalanan dari Kantor Desa Ke Kantor Kecamatan
(misal; jika mengharuskan Melaui Jalur Udara/Laut/Sungai dilanjutkan menggunakan Kendaraan Umum/ Sewa dll)</t>
  </si>
  <si>
    <t>Apakah sekolah SD di desa memiliki fasilitas pendukung pembelajaran berbasis internet seperti Wi-Fi sekolah?</t>
  </si>
  <si>
    <t>Gratis</t>
  </si>
  <si>
    <t>Sebutkan Layanan pemerintah berbasis elektronik lainnya</t>
  </si>
  <si>
    <t>Apakan pemerintah Desa mengalokasikan anggaran untuk keberlanjutan layanan khusus penyandang difabel tersebut?</t>
  </si>
  <si>
    <t>Terdapat Standar Operasional Prosedur (SOP) Mitigasi Bencana</t>
  </si>
  <si>
    <t>Rencana Penanggulangan Bencana</t>
  </si>
  <si>
    <t>Ponsel/ Telepon Genggam</t>
  </si>
  <si>
    <t>Komputer Tablet</t>
  </si>
  <si>
    <t>Komputer Jinjing/ Komputer Lipat/ Laptop/ Notebook</t>
  </si>
  <si>
    <t>Adakah Program Pembangunan yang bersumber dari Swasta</t>
  </si>
  <si>
    <t>Sumber Pembiayaan (Sebutkan Nama Perusahaan Swasta)</t>
  </si>
  <si>
    <t xml:space="preserve">Jenis Status Hutan </t>
  </si>
  <si>
    <t>CATATAN TAMBAHAN</t>
  </si>
  <si>
    <t>Besaran Dana Desa yang disertakan sebagai modal Bumdes</t>
  </si>
  <si>
    <t>KEPALA DESA</t>
  </si>
  <si>
    <t>KETUA BADAN PERMUSYAWARATAN DESA</t>
  </si>
  <si>
    <t>PETUGAS INPUT DATA</t>
  </si>
  <si>
    <t>PENDAMPING LOKAL DESA</t>
  </si>
  <si>
    <t>Jenis Topografi sebagian besar wilayah Desa</t>
  </si>
  <si>
    <t>Terdapat Tambang Golongan A Lainnya</t>
  </si>
  <si>
    <t>Terdapat Tambang Lainnya Golongan B</t>
  </si>
  <si>
    <r>
      <t xml:space="preserve">Jika </t>
    </r>
    <r>
      <rPr>
        <b/>
        <sz val="11"/>
        <color rgb="FF000000"/>
        <rFont val="Calibri"/>
        <family val="2"/>
        <scheme val="minor"/>
      </rPr>
      <t>Ya</t>
    </r>
    <r>
      <rPr>
        <sz val="11"/>
        <color rgb="FF000000"/>
        <rFont val="Calibri"/>
        <family val="2"/>
        <scheme val="minor"/>
      </rPr>
      <t>, apa bentuk kegiatan sosialisasi dan/atau advokasi tersebut?</t>
    </r>
  </si>
  <si>
    <r>
      <t xml:space="preserve">Jika </t>
    </r>
    <r>
      <rPr>
        <b/>
        <sz val="11"/>
        <rFont val="Calibri"/>
        <family val="2"/>
        <scheme val="minor"/>
      </rPr>
      <t>Terdapat</t>
    </r>
    <r>
      <rPr>
        <sz val="11"/>
        <rFont val="Calibri"/>
        <family val="2"/>
        <scheme val="minor"/>
      </rPr>
      <t xml:space="preserve"> Ekonomi kreatif berbasis kearifan lokal, sebutkan jenis ekonomi tersebut</t>
    </r>
  </si>
  <si>
    <r>
      <t xml:space="preserve">Jika </t>
    </r>
    <r>
      <rPr>
        <b/>
        <sz val="11"/>
        <rFont val="Calibri"/>
        <family val="2"/>
        <scheme val="minor"/>
      </rPr>
      <t>Terdapat</t>
    </r>
    <r>
      <rPr>
        <sz val="11"/>
        <rFont val="Calibri"/>
        <family val="2"/>
        <scheme val="minor"/>
      </rPr>
      <t>, Pendidikan Non-Formal/ Pusat Keterampilan/ Kursus apa saja yang diajarkan?</t>
    </r>
  </si>
  <si>
    <t>Diperkeras (kerikil, batu, dll)/ Jalan Terapung Kayu (semi permanen)</t>
  </si>
  <si>
    <t>Aspal/beton/Jalan Terapung Permanen</t>
  </si>
  <si>
    <t>B3</t>
  </si>
  <si>
    <t>B 301</t>
  </si>
  <si>
    <t>Fungsi Pustu/Poskesdes/ Polindes</t>
  </si>
  <si>
    <t>Petani Perempuan</t>
  </si>
  <si>
    <t>Nelayan Perempuan</t>
  </si>
  <si>
    <t>Buruh Tani/Buruh Nelayan Perempuan</t>
  </si>
  <si>
    <t>Buruh Pabrik Perempuan</t>
  </si>
  <si>
    <t>PNS Perempuan</t>
  </si>
  <si>
    <t>Pegawai Swasta Perempuan</t>
  </si>
  <si>
    <t>Wiraswasta / pedagang Perempuan</t>
  </si>
  <si>
    <t>TNI Perempuan</t>
  </si>
  <si>
    <t>POLRI Perempuan</t>
  </si>
  <si>
    <t>Dokter (Swasta/ Honorer) Perempuan</t>
  </si>
  <si>
    <t>Perawat (Swasta/ Honorer) Perempuan</t>
  </si>
  <si>
    <t>Lainnya Perempuan</t>
  </si>
  <si>
    <t>Jumlah warga penyandang kebutuhan khusus Perempuan</t>
  </si>
  <si>
    <t>Potensi Perikanan Laut</t>
  </si>
  <si>
    <t>Potensi Perikanan Air Tawar/ Payau</t>
  </si>
  <si>
    <t>Terdapat Budidaya Ikan Mas</t>
  </si>
  <si>
    <t>Terdapat Budidaya Bandeng</t>
  </si>
  <si>
    <t>Terdapat Budidaya Ikan Hias</t>
  </si>
  <si>
    <t>Terdapat Budidaya Lobster Air Laut</t>
  </si>
  <si>
    <t>Terdapat Budidaya Lobster Air Tawar</t>
  </si>
  <si>
    <t>Terdapat Budidaya Teripang</t>
  </si>
  <si>
    <t>Terdapat Budidaya Abalon</t>
  </si>
  <si>
    <t>Terdapat Budidaya Kerapu</t>
  </si>
  <si>
    <t>Terdapat Budidaya Kakap</t>
  </si>
  <si>
    <t>Terdapat Budidaya Napoleon</t>
  </si>
  <si>
    <t>Terdapat Budidaya Tiram</t>
  </si>
  <si>
    <t>Terdapat Budidaya Kerang-kerangan Laut</t>
  </si>
  <si>
    <t>o</t>
  </si>
  <si>
    <t>50 - 150</t>
  </si>
  <si>
    <t>150  - 350</t>
  </si>
  <si>
    <t>350 - 500</t>
  </si>
  <si>
    <t>Total produksi garam dalam satu tahun di Desa</t>
  </si>
  <si>
    <t xml:space="preserve">&gt; 1.000 </t>
  </si>
  <si>
    <t>500 - 1.000</t>
  </si>
  <si>
    <t>tidak ada</t>
  </si>
  <si>
    <t>Terdapat Pabrik Es di Desa</t>
  </si>
  <si>
    <t xml:space="preserve">Tersedianya tempat Tambatan perahu/pelabuhan/dermaga di Desa? </t>
  </si>
  <si>
    <t xml:space="preserve">Tersedianya pasar ikan atau tempat pelelangan ikan di Desa? </t>
  </si>
  <si>
    <t>Tujuan Pasar Perdagangan Hasil Panen Perkebunan Karet</t>
  </si>
  <si>
    <t>Terdapat Peternakan Lainnya</t>
  </si>
  <si>
    <t>p</t>
  </si>
  <si>
    <t>Terdapat Budidaya Perikanan Air Tawa/ Payau Lainnya</t>
  </si>
  <si>
    <t>Terdapat Budidaya Perikanan Air Laut Lainnya</t>
  </si>
  <si>
    <t>Komoditas Tanaman obat Unggulan Pertama Masuk Pasar Modern (Ekspor)</t>
  </si>
  <si>
    <t>Total Tanaman obat Unggulan Pertama yang dipasarkan ke Pasar Modern dalam 1 Tahun Terakhir</t>
  </si>
  <si>
    <t>Komoditas Tanaman obat Unggulan Kedua Masuk Pasar Modern (Ekspor)</t>
  </si>
  <si>
    <t>Total Tanaman obat Unggulan Kedua yang dipasarkan ke Pasar Modern dalam 1 Tahun Terakhir</t>
  </si>
  <si>
    <t>Komoditas Tanaman Sayuran Unggulan Pertama Masuk Pasar Modern (Ekspor)</t>
  </si>
  <si>
    <t>Total Tanaman Sayuran Unggulan Pertama yang dipasarkan ke Pasar Modern dalam 1 Tahun Terakhir</t>
  </si>
  <si>
    <t>Komoditas Tanaman Sayuran Unggulan Kedua Masuk Pasar Modern (Ekspor)</t>
  </si>
  <si>
    <t>Total Tanaman Sayuran Unggulan Kedua yang dipasarkan ke Pasar Modern dalam 1 Tahun Terakhir</t>
  </si>
  <si>
    <t>Komoditas Tanaman Buah Unggulan Pertama Masuk Pasar Modern (Ekspor)</t>
  </si>
  <si>
    <t>Komoditas Tanaman Buah Unggulan Kedua Masuk Pasar Modern (Ekspor)</t>
  </si>
  <si>
    <t>Total Tanaman Buah Unggulan Kedua yang dipasarkan ke Pasar Modern dalam 1 Tahun Terakhir</t>
  </si>
  <si>
    <t>Pasar Ekspor Tanaman Obat</t>
  </si>
  <si>
    <t>Komoditas Perikanan Darat Unggulan Pertama Masuk Pasar Modern (Ekspor)</t>
  </si>
  <si>
    <t>Total Perikanan Darat Unggulan Pertama yang dipasarkan ke Pasar Modern dalam 1 Tahun Terakhir</t>
  </si>
  <si>
    <t>Wilayah Tujuan Pasar Ekspor Perdagangan Perikanan Darat Unggulan Pertama</t>
  </si>
  <si>
    <t>Komoditas Perikanan Darat Unggulan Kedua Masuk Pasar Modern (Ekspor)</t>
  </si>
  <si>
    <t>Total Perikanan Darat Unggulan Kedua yang dipasarkan ke Pasar Modern dalam 1 Tahun Terakhir</t>
  </si>
  <si>
    <t>Wilayah Tujuan Pasar Ekspor Perdagangan Perikanan Darat Unggulan Kedua</t>
  </si>
  <si>
    <t>Wilayah Tujuan Pasar Ekspor Perdagangan Tanaman obat Unggulan Pertama</t>
  </si>
  <si>
    <t>Wilayah Tujuan Pasar Ekspor Perdagangan Tanaman obat Unggulan Kedua</t>
  </si>
  <si>
    <t>Wilayah Tujuan Pasar Ekspor Perdagangan Tanaman Sayuran Unggulan Pertama</t>
  </si>
  <si>
    <t>Wilayah Tujuan Pasar Ekspor Perdagangan Tanaman Sayuran Unggulan Kedua</t>
  </si>
  <si>
    <t>Wilayah Tujuan Pasar Ekspor Perdagangan Tanaman Buah Unggulan Pertama</t>
  </si>
  <si>
    <t>Wilayah Tujuan Pasar Ekspor Perdagangan Tanaman Buah Unggulan Kedua</t>
  </si>
  <si>
    <t>Wilayah Tujuan Pasar Ekspor Perdagangan Tanaman Pangan Unggulan Pertama</t>
  </si>
  <si>
    <t>Wilayah Tujuan Pasar Ekspor Perdagangan Tanaman Pangan Unggulan Kedua</t>
  </si>
  <si>
    <t>Pasar Ekspor Perikanan Darat</t>
  </si>
  <si>
    <t>Jenis Produk Perikanan Darat (Sebutkan)</t>
  </si>
  <si>
    <t>Pasar Ekspor Perikanan Laut</t>
  </si>
  <si>
    <t>Komoditas Perikanan Laut Unggulan Pertama Masuk Pasar Modern (Ekspor)</t>
  </si>
  <si>
    <t>Jenis Produk Perikanan Laut (Sebutkan)</t>
  </si>
  <si>
    <t>Total Perikanan Laut Unggulan Pertama yang dipasarkan ke Pasar Modern dalam 1 Tahun Terakhir</t>
  </si>
  <si>
    <t>Wilayah Tujuan Pasar Ekspor Perdagangan Perikanan Laut Unggulan Pertama</t>
  </si>
  <si>
    <t>Komoditas Perikanan Laut Unggulan Kedua Masuk Pasar Modern (Ekspor)</t>
  </si>
  <si>
    <t>Total Perikanan Laut Unggulan Kedua yang dipasarkan ke Pasar Modern dalam 1 Tahun Terakhir</t>
  </si>
  <si>
    <t>Wilayah Tujuan Pasar Ekspor Perdagangan Perikanan Laut Unggulan Kedua</t>
  </si>
  <si>
    <t>Pasar Ekspor Produk Lokal Desa Lainnya</t>
  </si>
  <si>
    <t>Komoditas Produk Lokal Desa Lainnya Unggulan Pertama Masuk Pasar Modern (Ekspor)</t>
  </si>
  <si>
    <t>Total Produk Lokal Desa Lainnya Unggulan Pertama yang dipasarkan ke Pasar Modern dalam 1 Tahun Terakhir</t>
  </si>
  <si>
    <t>Wilayah Tujuan Pasar Ekspor Perdagangan Produk Lokal Desa Lainnya Unggulan Pertama</t>
  </si>
  <si>
    <t>Komoditas Produk Lokal Desa Lainnya Unggulan Kedua Masuk Pasar Modern (Ekspor)</t>
  </si>
  <si>
    <t>Total Produk Lokal Desa Lainnya Unggulan Kedua yang dipasarkan ke Pasar Modern dalam 1 Tahun Terakhir</t>
  </si>
  <si>
    <t>Wilayah Tujuan Pasar Ekspor Perdagangan Produk Lokal Desa Lainnya Unggulan Kedua</t>
  </si>
  <si>
    <t>Jenis Produk Lokal Desa Lainnya (Sebutkan)</t>
  </si>
  <si>
    <t>Jenis Produk Lokal Desa Lainnya Kedua (Sebutkan)</t>
  </si>
  <si>
    <t>Nomor Perdes Pembentukan Bumdesa</t>
  </si>
  <si>
    <t>Tahun Pendirian Bumdesa</t>
  </si>
  <si>
    <t>Total Tenaga Kerja Bumdesa</t>
  </si>
  <si>
    <t>Nama Ketua Pelaksana Bidang Unit Usaha</t>
  </si>
  <si>
    <t>Nama_Ketua_Bumdesa</t>
  </si>
  <si>
    <t>Nama Sekretaris</t>
  </si>
  <si>
    <t>Nama Bendahara</t>
  </si>
  <si>
    <t>Jumlah Anggota Bumdesa</t>
  </si>
  <si>
    <t>SK Pengelola Bumdesa</t>
  </si>
  <si>
    <t>Alamat Email Bumdesa</t>
  </si>
  <si>
    <t>KEMENTERIAN DESA DAN PEMBANGUNAN DAERAH TERTINGGAL</t>
  </si>
  <si>
    <t>Pasar Ekspor Produk Telur</t>
  </si>
  <si>
    <t>Komoditas Produk Telur Unggulan Pertama Masuk Pasar Modern (Ekspor)</t>
  </si>
  <si>
    <t>Jenis Produk Telur Unggulan Pertama (Sebutkan)</t>
  </si>
  <si>
    <t>Total Produk Telur Unggulan Pertama yang dipasarkan ke Pasar Modern dalam 1 Tahun Terakhir</t>
  </si>
  <si>
    <t>Wilayah Tujuan Pasar Ekspor Perdagangan Produk Telur Unggulan Pertama</t>
  </si>
  <si>
    <t>Komoditas Produk Telur Unggulan Kedua Masuk Pasar Modern (Ekspor)</t>
  </si>
  <si>
    <t>Jenis Produk Telur Unggulan Kedua (Sebutkan)</t>
  </si>
  <si>
    <t>Total Produk Telur Unggulan Kedua yang dipasarkan ke Pasar Modern dalam 1 Tahun Terakhir</t>
  </si>
  <si>
    <t>Wilayah Tujuan Pasar Ekspor Perdagangan Produk Telur Unggulan Kedua</t>
  </si>
  <si>
    <t>Pasar Ekspor Produk Susu</t>
  </si>
  <si>
    <t>Komoditas Produk Susu Unggulan Pertama Masuk Pasar Modern (Ekspor)</t>
  </si>
  <si>
    <t>Jenis Produk Susu Unggulan Pertama (Sebutkan)</t>
  </si>
  <si>
    <t>Total Produk Susu Unggulan Pertama yang dipasarkan ke Pasar Modern dalam 1 Tahun Terakhir</t>
  </si>
  <si>
    <t>Wilayah Tujuan Pasar Ekspor Perdagangan Produk Susu Unggulan Pertama</t>
  </si>
  <si>
    <t>Komoditas Produk Susu Unggulan Kedua Masuk Pasar Modern (Ekspor)</t>
  </si>
  <si>
    <t>Jenis Produk Susu Unggulan Kedua (Sebutkan)</t>
  </si>
  <si>
    <t>Total Produk Susu Unggulan Kedua yang dipasarkan ke Pasar Modern dalam 1 Tahun Terakhir</t>
  </si>
  <si>
    <t>Wilayah Tujuan Pasar Ekspor Perdagangan Produk Susu Unggulan Kedua</t>
  </si>
  <si>
    <t>Pasar Ekspor Produk Daging</t>
  </si>
  <si>
    <t>Komoditas Produk Daging Unggulan Pertama Masuk Pasar Modern (Ekspor)</t>
  </si>
  <si>
    <t>Jenis Produk Daging Unggulan Pertama (Sebutkan)</t>
  </si>
  <si>
    <t>Total Produk Daging Unggulan Pertama yang dipasarkan ke Pasar Modern dalam 1 Tahun Terakhir</t>
  </si>
  <si>
    <t>Wilayah Tujuan Pasar Ekspor Perdagangan Produk Daging Unggulan Pertama</t>
  </si>
  <si>
    <t>Komoditas Produk Daging Unggulan Kedua Masuk Pasar Modern (Ekspor)</t>
  </si>
  <si>
    <t>Jenis Produk Daging Unggulan Kedua (Sebutkan)</t>
  </si>
  <si>
    <t>Total Produk Daging Unggulan Kedua yang dipasarkan ke Pasar Modern dalam 1 Tahun Terakhir</t>
  </si>
  <si>
    <t>Wilayah Tujuan Pasar Ekspor Perdagangan Produk Daging Unggulan Kedua</t>
  </si>
  <si>
    <t>Jumlah kejadian Konflik antarpelajar/ mahasiswa/ pemuda</t>
  </si>
  <si>
    <t>ii. Buku Keputusan Kepala Desa</t>
  </si>
  <si>
    <t>iii. Buku Inventaris dan Kekayaan Desa</t>
  </si>
  <si>
    <t>iv. Buku Aparat Pemerintah Desa</t>
  </si>
  <si>
    <t>v. Buku Tanah Kas Desa</t>
  </si>
  <si>
    <t>vi. Buku Agenda</t>
  </si>
  <si>
    <t>vii. Buku Ekspedisi; dan</t>
  </si>
  <si>
    <t>viii. Buku Lembaran Desa dan Buku Berita Desa</t>
  </si>
  <si>
    <t>Anggota</t>
  </si>
  <si>
    <t>Sarana Kesehatan Lainnya</t>
  </si>
  <si>
    <t>Jalan Desa /lingkungan (termasuk jalan usaha tani)</t>
  </si>
  <si>
    <t>Kondisi Jalan</t>
  </si>
  <si>
    <t>Aksesibilitas Kondisi Jalan, Jembatan dan Bendungan</t>
  </si>
  <si>
    <t xml:space="preserve">Ketersediaan Lembaga Ekonomi lainnya di Desa (selain BUM Desa/ BUM Desa bersama): </t>
  </si>
  <si>
    <r>
      <t xml:space="preserve">Jika </t>
    </r>
    <r>
      <rPr>
        <b/>
        <sz val="11"/>
        <rFont val="Calibri"/>
        <family val="2"/>
        <scheme val="minor"/>
      </rPr>
      <t xml:space="preserve">terdapat </t>
    </r>
    <r>
      <rPr>
        <sz val="11"/>
        <rFont val="Calibri"/>
        <family val="2"/>
        <scheme val="minor"/>
      </rPr>
      <t>sumber listrik yang berasal dari Non-PLN, siapa penyedia layanan listrik tersebut?</t>
    </r>
  </si>
  <si>
    <t>Jika Terdapat Aktivitas, Apa saja bentuk aktivitasnya? (sebutkan)</t>
  </si>
  <si>
    <t>Penyedia dukungan Sarana Kesehatan (Pemerintah/ Yayasan/ Swasta/ Masyarakat)</t>
  </si>
  <si>
    <r>
      <t xml:space="preserve">Jika </t>
    </r>
    <r>
      <rPr>
        <b/>
        <sz val="11"/>
        <color rgb="FF000000"/>
        <rFont val="Calibri"/>
        <family val="2"/>
        <scheme val="minor"/>
      </rPr>
      <t>tersedia</t>
    </r>
    <r>
      <rPr>
        <sz val="11"/>
        <color rgb="FF000000"/>
        <rFont val="Calibri"/>
        <family val="2"/>
        <scheme val="minor"/>
      </rPr>
      <t>, sebutkan jenis sarana kesehatan lainnya yang terdapat di Desa (Apotek/ Toko Obat/ Praktek Mantri/ sarana kesehatan lainnya yang ada di Desa)</t>
    </r>
  </si>
  <si>
    <t>Terdapat Penyedia Transportasi penunjang menuju layanan Dokter di Desa</t>
  </si>
  <si>
    <t>Bidang Pendidikan</t>
  </si>
  <si>
    <t>Bidang Seni Budaya</t>
  </si>
  <si>
    <t>Bidang Pengelolaan Sumber Daya Alam</t>
  </si>
  <si>
    <t>Bidang Lingkungan dan Pariwisata</t>
  </si>
  <si>
    <t>Bidang Pangan</t>
  </si>
  <si>
    <t>Bidang Inovasi Teknologi</t>
  </si>
  <si>
    <t>- Dataran Rendah</t>
  </si>
  <si>
    <t>- Dataran Tinggi/ Pegunungan</t>
  </si>
  <si>
    <t>- Kepulauan</t>
  </si>
  <si>
    <t>- Pesisir</t>
  </si>
  <si>
    <t>- Rawa</t>
  </si>
  <si>
    <t>PMI</t>
  </si>
  <si>
    <t>Pemberdayaan Masyarakat Pasca Pekerja Migran Indonesia</t>
  </si>
  <si>
    <t>Kewirausahaan dan Pengembangan Usaha Produktif</t>
  </si>
  <si>
    <t xml:space="preserve">Berapakah jumlah Pekerja Migran Indonesia dan keluarganya yang memiliki usaha hasil bekerja diluar negeri? </t>
  </si>
  <si>
    <t>max jlh penduduk</t>
  </si>
  <si>
    <t xml:space="preserve"> Sebutkan jumlah jenis usaha yang dimiliki oleh Pekerja Migran Indonesia dan keluarganya</t>
  </si>
  <si>
    <t>Jumlah Usaha Kuliner</t>
  </si>
  <si>
    <t>Jumlah Usaha Jasa</t>
  </si>
  <si>
    <t>Jumlah Usaha Kerajinan</t>
  </si>
  <si>
    <t>Jumlah Usaha Fashion/ Penjahit</t>
  </si>
  <si>
    <t>Jumlah Usaha Retail/Toko</t>
  </si>
  <si>
    <t>Jumlah Usaha Pariwisata</t>
  </si>
  <si>
    <t>Jumlah Usaha Peternakan</t>
  </si>
  <si>
    <t>Jumlah Usaha Pertanian</t>
  </si>
  <si>
    <t>Jumlah Usaha Perikanan</t>
  </si>
  <si>
    <t>Jumlah Usaha Lainnya</t>
  </si>
  <si>
    <t>&lt;3/4 jlh Penduduk</t>
  </si>
  <si>
    <t xml:space="preserve">Apakah di desa memiliki jaringan atau komunitas wirausaha yang dapat membantu pendampingan/pengembangan usaha PMI dan keluarganya? </t>
  </si>
  <si>
    <t xml:space="preserve">Sebutkan kendala apa saja yang dialami oleh wirausahawan PMI dan keluarganya dalam mengelola dan mengembangkan usahanya? </t>
  </si>
  <si>
    <t>Apakah di desa terdapat program dukungan bagi PMI dan keluarganya yang ingin berwirausaha?</t>
  </si>
  <si>
    <t>Reintegrasi dan Penguatan Keluarga</t>
  </si>
  <si>
    <t>Apakah di desa sudah memiliki Peraturan Desa (Perdes) mengenai Pelindungan Pekerja Migran Indonesia?</t>
  </si>
  <si>
    <r>
      <t>Sebutkan apa saja yang dibutuhkan oleh keluarga PMI di desa untuk mendukung pemberdayaan dan penguatan keluarga mereka dan yang dibutuhkan oleh keluarga PMI di desa yang mendukung Peatihan/ Peningkatan/ Pengembangan Keterampilan (</t>
    </r>
    <r>
      <rPr>
        <i/>
        <sz val="11"/>
        <color rgb="FF000000"/>
        <rFont val="Calibri"/>
        <family val="2"/>
        <scheme val="minor"/>
      </rPr>
      <t>upgrading skill )</t>
    </r>
    <r>
      <rPr>
        <sz val="11"/>
        <color rgb="FF000000"/>
        <rFont val="Calibri"/>
        <family val="2"/>
        <scheme val="minor"/>
      </rPr>
      <t>untuk menuju kemandirian ekonomi ?</t>
    </r>
  </si>
  <si>
    <r>
      <t xml:space="preserve">Jika </t>
    </r>
    <r>
      <rPr>
        <b/>
        <sz val="11"/>
        <color rgb="FF000000"/>
        <rFont val="Calibri"/>
        <family val="2"/>
        <scheme val="minor"/>
      </rPr>
      <t>Ada</t>
    </r>
    <r>
      <rPr>
        <sz val="11"/>
        <color rgb="FF000000"/>
        <rFont val="Calibri"/>
        <family val="2"/>
        <scheme val="minor"/>
      </rPr>
      <t xml:space="preserve">, bagaimana dampak program pemberdayaan yang pernah diterima desa ini terhadap kesiapan dan kesejahteraan pekerja migran serta keluarganya? </t>
    </r>
  </si>
  <si>
    <t>Perlu</t>
  </si>
  <si>
    <t>Tidak Perlu</t>
  </si>
  <si>
    <t>Apakah desa sudah pernah mendapatkan atau mengikuti program pemberdayaan?</t>
  </si>
  <si>
    <r>
      <t xml:space="preserve">Jika </t>
    </r>
    <r>
      <rPr>
        <b/>
        <sz val="11"/>
        <color rgb="FF000000"/>
        <rFont val="Calibri"/>
        <family val="2"/>
        <scheme val="minor"/>
      </rPr>
      <t>belum</t>
    </r>
    <r>
      <rPr>
        <sz val="11"/>
        <color rgb="FF000000"/>
        <rFont val="Calibri"/>
        <family val="2"/>
        <scheme val="minor"/>
      </rPr>
      <t>, apakah masyarakat di desa butuh program pemberdayaan dari pemerintah?</t>
    </r>
  </si>
  <si>
    <t>Literasi Keuangan dan Pemanfaatan Remitansi</t>
  </si>
  <si>
    <t>Apakah pemerintah desa melakukan pemantauan terhadap para keluarga PMI yg sedang bekerja?</t>
  </si>
  <si>
    <t xml:space="preserve">Sebutkan penghasilan para Pekerja Migran Indonesia di wilayah desa anda biasanya dimanfaatkan untuk apa saja? </t>
  </si>
  <si>
    <t>Apakah tingkat kesejahteraan keluarga Purna PMI lebih meningkat dibandingkan dengan ketika Purna PMI tersebut masih bekerja di Luar Negeri?</t>
  </si>
  <si>
    <t xml:space="preserve">Apakah tingkat kesejahteraan keluarga PMI yang sedang bekerja berbeda dibandingkan dengan kesejahteraan masyarakat pada umumnya? </t>
  </si>
  <si>
    <t>Kepulangan dan Rehabilitasi</t>
  </si>
  <si>
    <t>Sebutkan produk bank apa saja yg biasa digunakan Keluarga Pekerja Migran Indonesia untuk menerima kiriman uang dari Pekerja Migran Indonesia dari luar negeri?</t>
  </si>
  <si>
    <t>Apakah desa memiliki data terkait penempatan PMI ke luar negeri yang berasal dari desa anda?</t>
  </si>
  <si>
    <t>Apakah desa memiliki data terkait kepulangan PMI yang berasal dari desa anda?</t>
  </si>
  <si>
    <t>Apakah desa memiliki catatan lengkap mengenai data diri, negara tujuan, dan waktu kepulangan PMI?</t>
  </si>
  <si>
    <t>Jumlah Pencatatan lengkap mengenai data diri, negara tujuan, dan waktu kepulangan PMI di Desa</t>
  </si>
  <si>
    <t>Besaran Dana Desa 2024</t>
  </si>
  <si>
    <t>Pemerintah dan Swasta</t>
  </si>
  <si>
    <t>Apakah terdapat kepulangan PMI Bermasalah di desa?</t>
  </si>
  <si>
    <t>PHK Sepihak</t>
  </si>
  <si>
    <t>Dokumen dan Izin Tinggal</t>
  </si>
  <si>
    <t>Kondisi Kesehatan/ Sosial</t>
  </si>
  <si>
    <t>Faktor Kebijakan Pemerintah Setempat</t>
  </si>
  <si>
    <t>Pelanggaran Hukum dan Peraturan di Negara Tujuan</t>
  </si>
  <si>
    <t>Jumlah Pekerja Migran Indonesia (PMI) Laki-Laki yang ada di desa?</t>
  </si>
  <si>
    <t>Jumlah Pekerja Migran Indonesia (PMI) Perempuan yang ada di desa?</t>
  </si>
  <si>
    <r>
      <t xml:space="preserve">Jika </t>
    </r>
    <r>
      <rPr>
        <b/>
        <sz val="11"/>
        <color rgb="FF000000"/>
        <rFont val="Calibri"/>
        <family val="2"/>
        <scheme val="minor"/>
      </rPr>
      <t>Ada</t>
    </r>
    <r>
      <rPr>
        <sz val="11"/>
        <color rgb="FF000000"/>
        <rFont val="Calibri"/>
        <family val="2"/>
        <scheme val="minor"/>
      </rPr>
      <t>, Jenis permasalahan PMI dipulangkan antara lain:</t>
    </r>
  </si>
  <si>
    <t xml:space="preserve">Apakah kegiatan mitigasi bencana tersebut bermanfaat/ bisa diandalkan? </t>
  </si>
  <si>
    <t>Apakah uji kesiapsiagaan/ simulasi tersebut bermanfaat?</t>
  </si>
  <si>
    <t>Apakah pemerintah Desa mengalokasikan anggaran untuk keberlanjutan uji kesiapsiagaan/ simulasi tersebut?</t>
  </si>
  <si>
    <t>Apakah pemerintah Desa bekerjasama dengan pihak lain dalam pengembangan/peningkatan uji kesiapsiagaan/ simulasi terebut?</t>
  </si>
  <si>
    <t>Apakah pemerintah Desa menyelenggarakan uji kesiapsiagaan/ simulasi menghadapi bencana?</t>
  </si>
  <si>
    <t>Pemerintah dan Masyarakat</t>
  </si>
  <si>
    <t>Swasta dan Masyarakat</t>
  </si>
  <si>
    <t>Ketersediaan Layanan tenaga kesehatan dokter di Desa</t>
  </si>
  <si>
    <t>Ketersediaan PAUD/ TK/ Sederajat di Desa</t>
  </si>
  <si>
    <t>Penyedia dukungan layanan PAUD/ TK/ Sederajat di Desa</t>
  </si>
  <si>
    <t>Ketersediaan sarana transportasi menuju PAUD/ TK/ Sederajat terdekat dari Desa</t>
  </si>
  <si>
    <t>Kemudahan Akses menuju PAUD/ TK/ Sederajat terdekat di Desa</t>
  </si>
  <si>
    <t xml:space="preserve">Kendala untuk mengakses fasilitas PAUD/ TK/ Sederajat di Desa </t>
  </si>
  <si>
    <t>Jumlah anak usia 3 - 6 tahun yang bersekolah PAUD/ TK/ Sederajat di desa</t>
  </si>
  <si>
    <t>Angka Partisipasi Murni (APM) anak usia 3 - 6 tahun yang bersekolah PAUD/ TK/ Sederajat di desa</t>
  </si>
  <si>
    <t>Jumlah SD / MI di Desa</t>
  </si>
  <si>
    <t>Ketersediaan SD/ MI/ Sederajat di Desa</t>
  </si>
  <si>
    <t>Penyedia layanan SD/ MI/ Sederajat di Desa</t>
  </si>
  <si>
    <t>Jarak ke SD /  MI terdekat</t>
  </si>
  <si>
    <t>Waktu tempuh untuk menuju ke SD /  MI terdekat</t>
  </si>
  <si>
    <t>Ketersediaan sarana transportasi menuju SD/ MI/ Sederajat terdekat dari Desa</t>
  </si>
  <si>
    <t>Kemudahan Akses menuju SD/ MI/ Sederajat terdekat di Desa?</t>
  </si>
  <si>
    <t>Kendala untuk mengakses fasilitas SD/ MI/ Sederajat di Desa</t>
  </si>
  <si>
    <t>Jumlah anak usia 7-12 tahun yang bersekolah SD/ MI/ Sederajat di desa</t>
  </si>
  <si>
    <t>Angka Partisipasi Murni (APM)  anak usia 7-12 tahun yang bersekolah SD/ MI/ Sederajat di desa</t>
  </si>
  <si>
    <t>Jumlah SMP /  MTs di Desa</t>
  </si>
  <si>
    <t>Ketersediaan SMP/ MTs/ Sederajat di Desa</t>
  </si>
  <si>
    <t>Penyedia dukungan layanan SMP/ MTs/ Sederajat di Desa</t>
  </si>
  <si>
    <t>Jarak ke SMP /  MTs terdekat</t>
  </si>
  <si>
    <t>Waktu tempuh untuk menuju ke SMP /  MTs terdekat</t>
  </si>
  <si>
    <t>Ketersediaan sarana transportasi menuju  SMP/ MTs/ Sederajat terdekat dari Desa</t>
  </si>
  <si>
    <t>Kemudahan Akses menuju SMP/ MTs/ Sederajat terdekat di Desa?</t>
  </si>
  <si>
    <t>Kendala untuk mengakses fasilitas  SMP/ MTs/ Sederajat di Desa</t>
  </si>
  <si>
    <t>Jumlah anak usia 13-15 tahun yang bersekolah SMP/ MTs/ Sederajat di desa</t>
  </si>
  <si>
    <t>Angka Partisipasi Murni (APM)  anak usia 13-15 tahun yang bersekolah SMP/ MTs/ Sederajat di desa</t>
  </si>
  <si>
    <t>Ketersediaan SMA/ SMK/ MA/ MAK/ Sederajat</t>
  </si>
  <si>
    <t>Ketersediaan sarana transportasi menuju  SMA/ SMK/ MA/ MAK/ Sederajat terdekat dari Desa</t>
  </si>
  <si>
    <t>Kemudahan Akses menuju SMA/ SMK/ MA/ MAK/ Sederajat terdekat di Desa?</t>
  </si>
  <si>
    <t>Kendala untuk mengakses fasilitas  SMA/ SMK/ MA/ MAK/ Sederajat di Desa</t>
  </si>
  <si>
    <t>Jumlah anak usia 16-18 tahun yang bersekolah SMA/ SMK/ MA/ MAK/ Sederajat di desa</t>
  </si>
  <si>
    <t>Angka Partisipasi Murni (APM)  anak usia 16-18 tahun yang bersekolah SMA/ SMK/ MA/ MAK/ Sederajat di desa</t>
  </si>
  <si>
    <t>Jarak Layanan kantor pos / pos pembantu / rumah pos / pos keliling/ pelayanan jasa ekspedisi di Desa/ Terdekat</t>
  </si>
  <si>
    <t>Terdapat pelayanan kantor pos / pos pembantu / rumah pos / pos keliling/ pelayanan jasa ekspedisi di Desa</t>
  </si>
  <si>
    <t>Telp/ HP Petugas</t>
  </si>
  <si>
    <t>Nomor Telp/ HP Petugas</t>
  </si>
  <si>
    <t>FORMULIR ISIAN PENDATAAN
ISU DESA DAN PERDESAAN TAHUN 2025</t>
  </si>
  <si>
    <t>PERTANYAAN KUISIONER ISU DESA dan PERDESAAN TAHUN 2025</t>
  </si>
  <si>
    <t>11</t>
  </si>
  <si>
    <t>12</t>
  </si>
  <si>
    <t>13</t>
  </si>
  <si>
    <t>14</t>
  </si>
  <si>
    <t>15</t>
  </si>
  <si>
    <t>16</t>
  </si>
  <si>
    <t>17</t>
  </si>
  <si>
    <t>18</t>
  </si>
  <si>
    <t>19</t>
  </si>
  <si>
    <t>21</t>
  </si>
  <si>
    <t>32</t>
  </si>
  <si>
    <t>33</t>
  </si>
  <si>
    <t>34</t>
  </si>
  <si>
    <t>35</t>
  </si>
  <si>
    <t>36</t>
  </si>
  <si>
    <t>51</t>
  </si>
  <si>
    <t>52</t>
  </si>
  <si>
    <t>53</t>
  </si>
  <si>
    <t>61</t>
  </si>
  <si>
    <t>62</t>
  </si>
  <si>
    <t>63</t>
  </si>
  <si>
    <t>64</t>
  </si>
  <si>
    <t>65</t>
  </si>
  <si>
    <t>71</t>
  </si>
  <si>
    <t>72</t>
  </si>
  <si>
    <t>73</t>
  </si>
  <si>
    <t>74</t>
  </si>
  <si>
    <t>75</t>
  </si>
  <si>
    <t>76</t>
  </si>
  <si>
    <t>81</t>
  </si>
  <si>
    <t>82</t>
  </si>
  <si>
    <t>91</t>
  </si>
  <si>
    <t>92</t>
  </si>
  <si>
    <t>93</t>
  </si>
  <si>
    <t>94</t>
  </si>
  <si>
    <t>95</t>
  </si>
  <si>
    <t>96</t>
  </si>
  <si>
    <t>Apakan terdapat peraturan Desa atau aturan kegiatan pemberdayaan perempuan dan perlindungan anak tersebut bermanfaat?</t>
  </si>
  <si>
    <t>Tujuan Pasar Perdagangan Hasil Panen Perkebunan Kelapa Sawit</t>
  </si>
  <si>
    <r>
      <t xml:space="preserve">Tersedianya </t>
    </r>
    <r>
      <rPr>
        <i/>
        <sz val="11"/>
        <rFont val="Calibri"/>
        <family val="2"/>
        <scheme val="minor"/>
      </rPr>
      <t xml:space="preserve">Cool Storage </t>
    </r>
    <r>
      <rPr>
        <sz val="11"/>
        <rFont val="Calibri"/>
        <family val="2"/>
        <scheme val="minor"/>
      </rPr>
      <t xml:space="preserve">(Gudang Es) untuk penyimpanan hasil perikanan tangkap? </t>
    </r>
  </si>
  <si>
    <t>1,2,3,4,5,&gt;5</t>
  </si>
  <si>
    <t>Max 52</t>
  </si>
  <si>
    <t>Ketersediaan Pendamping Desa (PD) / Pendamping Lokal Desa (PLD) di Desa</t>
  </si>
  <si>
    <t>Layanan Pendampingan Masyarakat di Bidang Lainnya (Sebutkan)</t>
  </si>
  <si>
    <t>max 42,9 rb</t>
  </si>
  <si>
    <t>Jalan Tidak Rusak</t>
  </si>
  <si>
    <t>Tidak Ada Jalan</t>
  </si>
  <si>
    <t>max 8</t>
  </si>
  <si>
    <t>max 40</t>
  </si>
  <si>
    <t>Max Anak Bersekolah</t>
  </si>
  <si>
    <t>Muhammad Khusni Al Amin</t>
  </si>
  <si>
    <t>7 Tahun</t>
  </si>
  <si>
    <t>Nuril Imron</t>
  </si>
  <si>
    <t>Anang Turcholis</t>
  </si>
  <si>
    <t>Khanif Masykur</t>
  </si>
  <si>
    <t>Makmuron</t>
  </si>
  <si>
    <t>Evi Lailatul Fitriya</t>
  </si>
  <si>
    <t>NU, Muhammadiyah, LDII</t>
  </si>
  <si>
    <t>MAHASISWA KKN</t>
  </si>
  <si>
    <t>Unggas, Ayam dll</t>
  </si>
  <si>
    <t>Ya</t>
  </si>
  <si>
    <t>Desa Bhineka Tunggal Eka</t>
  </si>
  <si>
    <t>7,549467S110,071353E</t>
  </si>
  <si>
    <t>Dusun Salakan RT 22 RW 003 Desa Wonogiri Kecamatan Kajoran Kabupaten Magelang</t>
  </si>
  <si>
    <t>Junarsih</t>
  </si>
  <si>
    <t>pemerintahdesawonogiri@gmail.com</t>
  </si>
  <si>
    <t>pemdeswonogiri2001</t>
  </si>
  <si>
    <t>@wonogiri01_desa</t>
  </si>
  <si>
    <t>https://desawonogiri.magelangkab.go.id/First/</t>
  </si>
  <si>
    <t>4 Tahun 6 Bulan</t>
  </si>
  <si>
    <t>Secara Konvensional</t>
  </si>
  <si>
    <t>Dataran Tinggi/ Pegunungan</t>
  </si>
  <si>
    <t>tidak ada transportasi umum</t>
  </si>
  <si>
    <t>Uang</t>
  </si>
  <si>
    <t>Ambulance Desa</t>
  </si>
  <si>
    <t>Cek Kesehatan Balita dan Lansia</t>
  </si>
  <si>
    <t>(JUNARSIH)</t>
  </si>
  <si>
    <t>Tidak ada</t>
  </si>
  <si>
    <t>Sadranan, Pentas Seni Budaya HUT RI, Gendurenan</t>
  </si>
  <si>
    <t>Gula Jawa, Ketela</t>
  </si>
  <si>
    <t>ya</t>
  </si>
  <si>
    <t>Mata Air, Keindahan Alam Desa, Pertanian</t>
  </si>
  <si>
    <t>Bagor , Tempat Sampah Alami</t>
  </si>
  <si>
    <t>dijual</t>
  </si>
  <si>
    <t>Tidak</t>
  </si>
  <si>
    <t>Tiak Ada</t>
  </si>
  <si>
    <t>Jamban Sendiri</t>
  </si>
  <si>
    <t>Belik, Kali</t>
  </si>
  <si>
    <t>Membeli</t>
  </si>
  <si>
    <t>Cornet</t>
  </si>
  <si>
    <t>Daerah sulit sinyal dan sering mati lampu cuaca hujan</t>
  </si>
  <si>
    <t>ISLAM</t>
  </si>
  <si>
    <t>Sadranan, Merti Desa, Tirakatan HUT RI</t>
  </si>
  <si>
    <t>Ketela Pohon</t>
  </si>
  <si>
    <t>Duku</t>
  </si>
  <si>
    <t>Beras</t>
  </si>
  <si>
    <t>Giri Manunggal Sejati</t>
  </si>
  <si>
    <t>08 Tahun 2020</t>
  </si>
  <si>
    <t>Yudi Purwanto</t>
  </si>
  <si>
    <t>Adri Setiabudi</t>
  </si>
  <si>
    <t>Feby Nur Setianingsih</t>
  </si>
  <si>
    <t>Fathul Ulum</t>
  </si>
  <si>
    <t>180.192/ 06 /KEP/2001/2023</t>
  </si>
  <si>
    <t>25% - 50%</t>
  </si>
  <si>
    <t>wonogiribumdes@gmail.com</t>
  </si>
  <si>
    <t>Tidak Mempengaruhi Kesehatan</t>
  </si>
  <si>
    <t>TANAH LONGSOR</t>
  </si>
  <si>
    <t>Kendaraan Umum</t>
  </si>
  <si>
    <t>Belum Ada</t>
  </si>
  <si>
    <r>
      <t>Selamat pagi / siang / sore. Saat ini kami dari Kementerian Desa, Pembangunan Daerah Tertinggal sedang mengumpulkan data tentang kondisi sosial, ekonomi dan lingkungan di Desa WONOGIRI</t>
    </r>
    <r>
      <rPr>
        <b/>
        <sz val="9"/>
        <color rgb="FF000000"/>
        <rFont val="Tahoma"/>
        <family val="2"/>
      </rPr>
      <t xml:space="preserve"> </t>
    </r>
    <r>
      <rPr>
        <sz val="9"/>
        <color rgb="FF000000"/>
        <rFont val="Tahoma"/>
        <family val="2"/>
      </rPr>
      <t xml:space="preserve">Kecamatan KAJORAN Kabupaten </t>
    </r>
    <r>
      <rPr>
        <b/>
        <sz val="9"/>
        <color rgb="FF000000"/>
        <rFont val="Tahoma"/>
        <family val="2"/>
      </rPr>
      <t xml:space="preserve">MAGELANG </t>
    </r>
    <r>
      <rPr>
        <sz val="9"/>
        <color rgb="FF000000"/>
        <rFont val="Tahoma"/>
        <family val="2"/>
      </rPr>
      <t>Informasi yang Bapak/Ibu berikan akan bermanfaat bagi peningkatan kualitas pembangunan dan pemberdayaan masyarakat Desa dan akan membantu pemerintah dalam merencanakan pembangunan dan pemberdayaan masyarakat di Desa yang lebih baik.</t>
    </r>
  </si>
  <si>
    <t>Jawa Tengah</t>
  </si>
  <si>
    <t>Kabupaten Magelang</t>
  </si>
  <si>
    <t>Kajoran</t>
  </si>
  <si>
    <t>Wonogiri</t>
  </si>
  <si>
    <t>Muhamad Aprianto</t>
  </si>
  <si>
    <t>(Muhamad Aprianto)</t>
  </si>
  <si>
    <t>3308122504860001</t>
  </si>
  <si>
    <t>Pendamping Lokal Desa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</si>
</sst>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Rp-3809]* #,##0_-;\-[$Rp-3809]* #,##0_-;_-[$Rp-3809]* &quot;-&quot;_-;_-@_-"/>
    <numFmt numFmtId="165" formatCode="_-[$Rp-421]* #,##0_-;\-[$Rp-421]* #,##0_-;_-[$Rp-421]* &quot;-&quot;_-;_-@_-"/>
    <numFmt numFmtId="166" formatCode="0.0000"/>
    <numFmt numFmtId="167" formatCode="m/d/yyyy;@"/>
    <numFmt numFmtId="168" formatCode="0.0"/>
    <numFmt numFmtId="169" formatCode="#,##0.0"/>
    <numFmt numFmtId="170" formatCode="_-[$Rp-3809]* #,##0_-;\-[$Rp-3809]* #,##0_-;_-[$Rp-3809]* &quot;-&quot;??_-;_-@"/>
    <numFmt numFmtId="171" formatCode="[$-421]dd\ mmmm\ yyyy;@"/>
    <numFmt numFmtId="172" formatCode="#,##0.0000"/>
    <numFmt numFmtId="173" formatCode="[$Rp-421]#,##0"/>
    <numFmt numFmtId="174" formatCode="hh:mmmm"/>
  </numFmts>
  <fonts count="64"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rgb="FF000000"/>
      <name val="Calibri"/>
      <family val="2"/>
    </font>
    <font>
      <b/>
      <sz val="11"/>
      <color rgb="FF000000"/>
      <name val="Tahoma"/>
      <family val="2"/>
    </font>
    <font>
      <b/>
      <sz val="16"/>
      <color rgb="FF000000"/>
      <name val="Calibri"/>
      <family val="2"/>
    </font>
    <font>
      <b/>
      <sz val="11"/>
      <color rgb="FF000000"/>
      <name val="Calibri"/>
      <family val="2"/>
    </font>
    <font>
      <sz val="9"/>
      <color rgb="FF000000"/>
      <name val="Tahoma"/>
      <family val="2"/>
    </font>
    <font>
      <b/>
      <sz val="9"/>
      <color rgb="FF000000"/>
      <name val="Tahoma"/>
      <family val="2"/>
    </font>
    <font>
      <b/>
      <i/>
      <sz val="9"/>
      <color rgb="FF000000"/>
      <name val="Tahoma"/>
      <family val="2"/>
    </font>
    <font>
      <b/>
      <sz val="18"/>
      <color rgb="FF000000"/>
      <name val="Calibri"/>
      <family val="2"/>
    </font>
    <font>
      <b/>
      <u/>
      <sz val="9"/>
      <color rgb="FF000000"/>
      <name val="Tahoma"/>
      <family val="2"/>
    </font>
    <font>
      <sz val="11"/>
      <color rgb="FF000000"/>
      <name val="Calibri"/>
      <family val="2"/>
    </font>
    <font>
      <b/>
      <i/>
      <sz val="11"/>
      <color rgb="FF000000"/>
      <name val="Calibri"/>
      <family val="2"/>
    </font>
    <font>
      <sz val="8"/>
      <name val="Calibri"/>
      <family val="2"/>
    </font>
    <font>
      <i/>
      <sz val="11"/>
      <color rgb="FF000000"/>
      <name val="Calibri"/>
      <family val="2"/>
    </font>
    <font>
      <b/>
      <sz val="11"/>
      <name val="Calibri"/>
      <family val="2"/>
    </font>
    <font>
      <sz val="11"/>
      <name val="Calibri"/>
      <family val="2"/>
    </font>
    <font>
      <sz val="11"/>
      <color rgb="FF000000"/>
      <name val="Calibri"/>
      <family val="2"/>
    </font>
    <font>
      <sz val="11"/>
      <color theme="1"/>
      <name val="Calibri"/>
      <family val="2"/>
    </font>
    <font>
      <b/>
      <sz val="11"/>
      <color theme="1"/>
      <name val="Calibri"/>
      <family val="2"/>
    </font>
    <font>
      <sz val="11"/>
      <name val="Calibri"/>
      <family val="2"/>
      <scheme val="minor"/>
    </font>
    <font>
      <b/>
      <sz val="11"/>
      <color theme="1"/>
      <name val="Calibri"/>
      <family val="2"/>
      <scheme val="minor"/>
    </font>
    <font>
      <b/>
      <sz val="11"/>
      <name val="Calibri"/>
      <family val="2"/>
      <scheme val="minor"/>
    </font>
    <font>
      <u/>
      <sz val="11"/>
      <color theme="10"/>
      <name val="Calibri"/>
      <family val="2"/>
    </font>
    <font>
      <sz val="9"/>
      <color theme="1"/>
      <name val="Calibri"/>
      <family val="2"/>
    </font>
    <font>
      <b/>
      <i/>
      <sz val="11"/>
      <name val="Calibri"/>
      <family val="2"/>
      <charset val="1"/>
    </font>
    <font>
      <sz val="11"/>
      <color rgb="FF000000"/>
      <name val="Calibri"/>
      <family val="2"/>
      <scheme val="minor"/>
    </font>
    <font>
      <b/>
      <sz val="11"/>
      <color rgb="FF000000"/>
      <name val="Calibri"/>
      <family val="2"/>
      <scheme val="minor"/>
    </font>
    <font>
      <i/>
      <sz val="11"/>
      <color rgb="FF000000"/>
      <name val="Calibri"/>
      <family val="2"/>
      <scheme val="minor"/>
    </font>
    <font>
      <b/>
      <i/>
      <sz val="11"/>
      <color rgb="FF000000"/>
      <name val="Calibri"/>
      <family val="2"/>
      <scheme val="minor"/>
    </font>
    <font>
      <b/>
      <sz val="14"/>
      <color rgb="FF000000"/>
      <name val="Calibri"/>
      <family val="2"/>
    </font>
    <font>
      <sz val="14"/>
      <color rgb="FF000000"/>
      <name val="Times New Roman"/>
      <family val="1"/>
    </font>
    <font>
      <b/>
      <sz val="22"/>
      <color rgb="FF000000"/>
      <name val="Calibri"/>
      <family val="2"/>
    </font>
    <font>
      <b/>
      <sz val="12"/>
      <name val="Calibri"/>
      <family val="2"/>
    </font>
    <font>
      <b/>
      <sz val="12"/>
      <name val="Calibri"/>
      <family val="2"/>
      <scheme val="minor"/>
    </font>
    <font>
      <sz val="11"/>
      <name val="Aptos Narrow"/>
      <family val="2"/>
    </font>
    <font>
      <b/>
      <sz val="14"/>
      <name val="Calibri"/>
      <family val="2"/>
      <scheme val="minor"/>
    </font>
    <font>
      <sz val="14"/>
      <color theme="1"/>
      <name val="Calibri"/>
      <family val="2"/>
      <scheme val="minor"/>
    </font>
    <font>
      <b/>
      <sz val="14"/>
      <color theme="1"/>
      <name val="Calibri"/>
      <family val="2"/>
      <scheme val="minor"/>
    </font>
    <font>
      <sz val="14"/>
      <color rgb="FF000000"/>
      <name val="Calibri"/>
      <family val="2"/>
      <scheme val="minor"/>
    </font>
    <font>
      <sz val="16"/>
      <color theme="0"/>
      <name val="Calibri"/>
      <family val="2"/>
    </font>
    <font>
      <sz val="16"/>
      <color rgb="FF000000"/>
      <name val="Times New Roman"/>
      <family val="1"/>
    </font>
    <font>
      <sz val="14"/>
      <name val="Calibri"/>
      <family val="2"/>
      <scheme val="minor"/>
    </font>
    <font>
      <sz val="14"/>
      <color theme="10"/>
      <name val="Calibri"/>
      <family val="2"/>
    </font>
    <font>
      <i/>
      <sz val="11"/>
      <name val="Calibri"/>
      <family val="2"/>
      <scheme val="minor"/>
    </font>
    <font>
      <b/>
      <sz val="11"/>
      <color theme="0"/>
      <name val="Calibri"/>
      <family val="2"/>
      <scheme val="minor"/>
    </font>
    <font>
      <sz val="11"/>
      <color theme="0"/>
      <name val="Calibri"/>
      <family val="2"/>
      <scheme val="minor"/>
    </font>
    <font>
      <b/>
      <sz val="9"/>
      <color theme="0"/>
      <name val="Calibri"/>
      <family val="2"/>
    </font>
    <font>
      <b/>
      <sz val="11"/>
      <color theme="0"/>
      <name val="Calibri"/>
      <family val="2"/>
    </font>
    <font>
      <b/>
      <sz val="14"/>
      <color theme="0"/>
      <name val="Calibri"/>
      <family val="2"/>
    </font>
    <font>
      <sz val="9"/>
      <color theme="0"/>
      <name val="Calibri"/>
      <family val="2"/>
    </font>
    <font>
      <sz val="11"/>
      <color theme="0"/>
      <name val="Calibri"/>
      <family val="2"/>
    </font>
    <font>
      <strike/>
      <sz val="11"/>
      <color theme="0"/>
      <name val="Calibri"/>
      <family val="2"/>
      <scheme val="minor"/>
    </font>
    <font>
      <b/>
      <strike/>
      <sz val="11"/>
      <color theme="0"/>
      <name val="Calibri"/>
      <family val="2"/>
    </font>
    <font>
      <i/>
      <sz val="11"/>
      <color theme="0"/>
      <name val="Calibri"/>
      <family val="2"/>
    </font>
    <font>
      <b/>
      <i/>
      <sz val="11"/>
      <color theme="0"/>
      <name val="Calibri"/>
      <family val="2"/>
    </font>
  </fonts>
  <fills count="46">
    <fill>
      <patternFill patternType="none"/>
    </fill>
    <fill>
      <patternFill patternType="gray125"/>
    </fill>
    <fill>
      <patternFill patternType="solid">
        <fgColor rgb="FFFFF2CB"/>
        <bgColor rgb="FFFFFFFF"/>
      </patternFill>
    </fill>
    <fill>
      <patternFill patternType="solid">
        <fgColor rgb="FFFBE4D5"/>
        <bgColor rgb="FFFFFFFF"/>
      </patternFill>
    </fill>
    <fill>
      <patternFill patternType="solid">
        <fgColor rgb="FFFFFF00"/>
        <bgColor rgb="FFFFFFFF"/>
      </patternFill>
    </fill>
    <fill>
      <patternFill patternType="solid">
        <fgColor rgb="FFE2EEDA"/>
        <bgColor rgb="FFFFFFFF"/>
      </patternFill>
    </fill>
    <fill>
      <patternFill patternType="solid">
        <fgColor rgb="FFECECEC"/>
        <bgColor rgb="FFFFFFFF"/>
      </patternFill>
    </fill>
    <fill>
      <patternFill patternType="solid">
        <fgColor rgb="FFD8D8D8"/>
        <bgColor rgb="FFFFFFFF"/>
      </patternFill>
    </fill>
    <fill>
      <patternFill patternType="solid">
        <fgColor rgb="FFFFFFFF"/>
        <bgColor rgb="FFFFFFFF"/>
      </patternFill>
    </fill>
    <fill>
      <patternFill patternType="solid">
        <fgColor rgb="FFE7E6E6"/>
        <bgColor rgb="FFFFFFFF"/>
      </patternFill>
    </fill>
    <fill>
      <patternFill patternType="solid">
        <fgColor theme="8" tint="0.79998168889431442"/>
        <bgColor indexed="64"/>
      </patternFill>
    </fill>
    <fill>
      <patternFill patternType="solid">
        <fgColor theme="8" tint="0.79998168889431442"/>
        <bgColor rgb="FFFFFFFF"/>
      </patternFill>
    </fill>
    <fill>
      <patternFill patternType="solid">
        <fgColor rgb="FFE2EFD9"/>
        <bgColor rgb="FFE2EFD9"/>
      </patternFill>
    </fill>
    <fill>
      <patternFill patternType="solid">
        <fgColor theme="9" tint="0.79998168889431442"/>
        <bgColor indexed="64"/>
      </patternFill>
    </fill>
    <fill>
      <patternFill patternType="solid">
        <fgColor rgb="FFDEEAF6"/>
        <bgColor rgb="FFDEEAF6"/>
      </patternFill>
    </fill>
    <fill>
      <patternFill patternType="solid">
        <fgColor rgb="FFDDEBF7"/>
        <bgColor rgb="FFDDEBF7"/>
      </patternFill>
    </fill>
    <fill>
      <patternFill patternType="solid">
        <fgColor rgb="FFEADCF4"/>
        <bgColor rgb="FFEADCF4"/>
      </patternFill>
    </fill>
    <fill>
      <patternFill patternType="solid">
        <fgColor rgb="FFC5E0B3"/>
        <bgColor rgb="FFC5E0B3"/>
      </patternFill>
    </fill>
    <fill>
      <patternFill patternType="solid">
        <fgColor rgb="FFFBE4D5"/>
        <bgColor rgb="FFFBE4D5"/>
      </patternFill>
    </fill>
    <fill>
      <patternFill patternType="solid">
        <fgColor rgb="FFFEF2CB"/>
        <bgColor rgb="FFFEF2CB"/>
      </patternFill>
    </fill>
    <fill>
      <patternFill patternType="solid">
        <fgColor theme="4" tint="0.59999389629810485"/>
        <bgColor indexed="64"/>
      </patternFill>
    </fill>
    <fill>
      <patternFill patternType="solid">
        <fgColor theme="9" tint="0.79998168889431442"/>
        <bgColor rgb="FFFEF2CB"/>
      </patternFill>
    </fill>
    <fill>
      <patternFill patternType="solid">
        <fgColor theme="9" tint="0.79998168889431442"/>
        <bgColor rgb="FFE2EFD9"/>
      </patternFill>
    </fill>
    <fill>
      <patternFill patternType="solid">
        <fgColor theme="9" tint="0.79998168889431442"/>
        <bgColor rgb="FFE2EFDA"/>
      </patternFill>
    </fill>
    <fill>
      <patternFill patternType="solid">
        <fgColor theme="7" tint="0.79998168889431442"/>
        <bgColor indexed="64"/>
      </patternFill>
    </fill>
    <fill>
      <patternFill patternType="solid">
        <fgColor theme="0" tint="-0.14999847407452621"/>
        <bgColor indexed="64"/>
      </patternFill>
    </fill>
    <fill>
      <patternFill patternType="solid">
        <fgColor rgb="FF98D981"/>
        <bgColor rgb="FFC5E0B3"/>
      </patternFill>
    </fill>
    <fill>
      <patternFill patternType="solid">
        <fgColor rgb="FF98D981"/>
        <bgColor indexed="64"/>
      </patternFill>
    </fill>
    <fill>
      <patternFill patternType="solid">
        <fgColor rgb="FFFFFFCC"/>
        <bgColor indexed="64"/>
      </patternFill>
    </fill>
    <fill>
      <patternFill patternType="solid">
        <fgColor rgb="FFFFFFCC"/>
        <bgColor rgb="FFFEF2CB"/>
      </patternFill>
    </fill>
    <fill>
      <patternFill patternType="solid">
        <fgColor theme="9" tint="0.79998168889431442"/>
        <bgColor rgb="FFFBE4D5"/>
      </patternFill>
    </fill>
    <fill>
      <patternFill patternType="solid">
        <fgColor theme="7" tint="0.79998168889431442"/>
        <bgColor rgb="FFEADCF4"/>
      </patternFill>
    </fill>
    <fill>
      <patternFill patternType="solid">
        <fgColor theme="8" tint="0.79998168889431442"/>
        <bgColor rgb="FFDEEAF6"/>
      </patternFill>
    </fill>
    <fill>
      <patternFill patternType="solid">
        <fgColor theme="8" tint="0.79998168889431442"/>
        <bgColor rgb="FFDDEBF7"/>
      </patternFill>
    </fill>
    <fill>
      <patternFill patternType="solid">
        <fgColor theme="0"/>
        <bgColor rgb="FFFEF2CB"/>
      </patternFill>
    </fill>
    <fill>
      <patternFill patternType="solid">
        <fgColor theme="0"/>
        <bgColor indexed="64"/>
      </patternFill>
    </fill>
    <fill>
      <patternFill patternType="solid">
        <fgColor rgb="FF98D981"/>
        <bgColor rgb="FFE2EFD9"/>
      </patternFill>
    </fill>
    <fill>
      <patternFill patternType="solid">
        <fgColor theme="0"/>
        <bgColor rgb="FFE2EFD9"/>
      </patternFill>
    </fill>
    <fill>
      <patternFill patternType="solid">
        <fgColor theme="8" tint="0.79998168889431442"/>
        <bgColor rgb="FFE2EFD9"/>
      </patternFill>
    </fill>
    <fill>
      <patternFill patternType="solid">
        <fgColor theme="0"/>
        <bgColor rgb="FFDEEAF6"/>
      </patternFill>
    </fill>
    <fill>
      <patternFill patternType="solid">
        <fgColor theme="0"/>
        <bgColor rgb="FFEADCF4"/>
      </patternFill>
    </fill>
    <fill>
      <patternFill patternType="solid">
        <fgColor theme="8" tint="0.79998168889431442"/>
        <bgColor rgb="FFEADCF4"/>
      </patternFill>
    </fill>
    <fill>
      <patternFill patternType="solid">
        <fgColor theme="8" tint="0.79998168889431442"/>
        <bgColor rgb="FFC5E0B3"/>
      </patternFill>
    </fill>
    <fill>
      <patternFill patternType="solid">
        <fgColor theme="8" tint="0.79998168889431442"/>
        <bgColor rgb="FFFEF2CB"/>
      </patternFill>
    </fill>
    <fill>
      <patternFill patternType="solid">
        <fgColor theme="8" tint="0.39997558519241921"/>
        <bgColor rgb="FFE7E6E6"/>
      </patternFill>
    </fill>
    <fill>
      <patternFill patternType="solid">
        <fgColor theme="8" tint="0.39997558519241921"/>
        <bgColor indexed="64"/>
      </patternFill>
    </fill>
  </fills>
  <borders count="6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rgb="FF000000"/>
      </left>
      <right style="thin">
        <color rgb="FF000000"/>
      </right>
      <top style="thin">
        <color auto="1"/>
      </top>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rgb="FF000000"/>
      </left>
      <right style="thin">
        <color rgb="FF000000"/>
      </right>
      <top/>
      <bottom style="thin">
        <color auto="1"/>
      </bottom>
      <diagonal/>
    </border>
    <border>
      <left style="medium">
        <color auto="1"/>
      </left>
      <right style="medium">
        <color auto="1"/>
      </right>
      <top style="medium">
        <color auto="1"/>
      </top>
      <bottom/>
      <diagonal/>
    </border>
    <border>
      <left/>
      <right/>
      <top style="medium">
        <color auto="1"/>
      </top>
      <bottom/>
      <diagonal/>
    </border>
    <border>
      <left style="thin">
        <color rgb="FF000000"/>
      </left>
      <right style="thin">
        <color rgb="FF000000"/>
      </right>
      <top style="medium">
        <color rgb="FF000000"/>
      </top>
      <bottom style="thin">
        <color rgb="FF000000"/>
      </bottom>
      <diagonal/>
    </border>
    <border>
      <left/>
      <right/>
      <top style="medium">
        <color rgb="FF000000"/>
      </top>
      <bottom/>
      <diagonal/>
    </border>
    <border>
      <left style="thin">
        <color auto="1"/>
      </left>
      <right style="thin">
        <color auto="1"/>
      </right>
      <top style="thin">
        <color auto="1"/>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style="thin">
        <color auto="1"/>
      </left>
      <right style="thin">
        <color rgb="FF000000"/>
      </right>
      <top style="thin">
        <color rgb="FF000000"/>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rgb="FF000000"/>
      </left>
      <right/>
      <top style="thin">
        <color auto="1"/>
      </top>
      <bottom/>
      <diagonal/>
    </border>
    <border>
      <left style="thin">
        <color rgb="FF000000"/>
      </left>
      <right style="thin">
        <color auto="1"/>
      </right>
      <top style="thin">
        <color auto="1"/>
      </top>
      <bottom/>
      <diagonal/>
    </border>
    <border>
      <left/>
      <right style="thin">
        <color auto="1"/>
      </right>
      <top style="thin">
        <color auto="1"/>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top style="thin">
        <color auto="1"/>
      </top>
      <bottom style="thin">
        <color rgb="FF000000"/>
      </bottom>
      <diagonal/>
    </border>
    <border>
      <left style="thin">
        <color rgb="FF000000"/>
      </left>
      <right style="thin">
        <color auto="1"/>
      </right>
      <top style="thin">
        <color auto="1"/>
      </top>
      <bottom style="thin">
        <color auto="1"/>
      </bottom>
      <diagonal/>
    </border>
    <border>
      <left style="thin">
        <color rgb="FF000000"/>
      </left>
      <right/>
      <top style="thin">
        <color auto="1"/>
      </top>
      <bottom style="thin">
        <color auto="1"/>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rgb="FF000000"/>
      </top>
      <bottom/>
      <diagonal/>
    </border>
    <border>
      <left style="thin">
        <color rgb="FF000000"/>
      </left>
      <right style="thin">
        <color auto="1"/>
      </right>
      <top/>
      <bottom style="thin">
        <color auto="1"/>
      </bottom>
      <diagonal/>
    </border>
    <border>
      <left style="thin">
        <color auto="1"/>
      </left>
      <right style="thin">
        <color auto="1"/>
      </right>
      <top/>
      <bottom style="thin">
        <color rgb="FF000000"/>
      </bottom>
      <diagonal/>
    </border>
    <border>
      <left style="thin">
        <color auto="1"/>
      </left>
      <right style="thin">
        <color rgb="FF000000"/>
      </right>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auto="1"/>
      </left>
      <right style="thin">
        <color rgb="FF000000"/>
      </right>
      <top style="thin">
        <color auto="1"/>
      </top>
      <bottom style="thin">
        <color auto="1"/>
      </bottom>
      <diagonal/>
    </border>
  </borders>
  <cellStyleXfs count="7">
    <xf numFmtId="0" fontId="0" fillId="0" borderId="0"/>
    <xf numFmtId="9" fontId="25" fillId="0" borderId="0" applyFont="0" applyFill="0" applyBorder="0" applyAlignment="0" applyProtection="0"/>
    <xf numFmtId="0" fontId="31" fillId="0" borderId="0" applyNumberFormat="0" applyFill="0" applyBorder="0" applyAlignment="0" applyProtection="0"/>
    <xf numFmtId="0" fontId="19" fillId="0" borderId="0"/>
    <xf numFmtId="0" fontId="9" fillId="0" borderId="0"/>
    <xf numFmtId="0" fontId="4" fillId="0" borderId="0"/>
    <xf numFmtId="9" fontId="4" fillId="0" borderId="0" applyFont="0" applyFill="0" applyBorder="0" applyAlignment="0" applyProtection="0"/>
  </cellStyleXfs>
  <cellXfs count="1028">
    <xf numFmtId="0" fontId="0" fillId="0" borderId="0" xfId="0"/>
    <xf numFmtId="0" fontId="10" fillId="0" borderId="0" xfId="0" applyFont="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pplyProtection="1">
      <alignment horizontal="left" vertical="center"/>
      <protection locked="0"/>
    </xf>
    <xf numFmtId="0" fontId="14" fillId="0" borderId="0" xfId="0" applyFont="1"/>
    <xf numFmtId="0" fontId="14" fillId="0" borderId="0" xfId="0" applyFont="1" applyAlignment="1">
      <alignment horizontal="right"/>
    </xf>
    <xf numFmtId="0" fontId="14" fillId="0" borderId="11" xfId="0" applyFont="1" applyBorder="1"/>
    <xf numFmtId="0" fontId="14" fillId="0" borderId="10" xfId="0" applyFont="1" applyBorder="1"/>
    <xf numFmtId="0" fontId="14" fillId="0" borderId="9" xfId="0" applyFont="1" applyBorder="1" applyAlignment="1">
      <alignment vertical="center"/>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20" fillId="0" borderId="0" xfId="0" applyFont="1"/>
    <xf numFmtId="0" fontId="22" fillId="0" borderId="0" xfId="0" applyFont="1"/>
    <xf numFmtId="0" fontId="19" fillId="0" borderId="0" xfId="0" applyFont="1"/>
    <xf numFmtId="3" fontId="0" fillId="0" borderId="0" xfId="0" applyNumberFormat="1" applyAlignment="1" applyProtection="1">
      <alignment horizontal="center" vertical="center"/>
      <protection locked="0"/>
    </xf>
    <xf numFmtId="0" fontId="0" fillId="0" borderId="0" xfId="0" applyAlignment="1">
      <alignment horizontal="center" vertical="center"/>
    </xf>
    <xf numFmtId="0" fontId="13" fillId="0" borderId="0" xfId="0" applyFont="1" applyAlignment="1">
      <alignment horizontal="center" vertical="center"/>
    </xf>
    <xf numFmtId="0" fontId="26" fillId="0" borderId="0" xfId="0" applyFont="1" applyAlignment="1">
      <alignment vertical="center"/>
    </xf>
    <xf numFmtId="0" fontId="32" fillId="0" borderId="0" xfId="0" applyFont="1" applyAlignment="1">
      <alignment horizontal="left" vertical="center" wrapText="1"/>
    </xf>
    <xf numFmtId="0" fontId="33" fillId="0" borderId="0" xfId="0" applyFont="1"/>
    <xf numFmtId="0" fontId="0" fillId="0" borderId="0" xfId="0" applyAlignment="1" applyProtection="1">
      <alignment horizontal="center" vertical="center"/>
      <protection locked="0"/>
    </xf>
    <xf numFmtId="10" fontId="28" fillId="38" borderId="16" xfId="1" applyNumberFormat="1" applyFont="1" applyFill="1" applyBorder="1" applyAlignment="1" applyProtection="1">
      <alignment horizontal="center" vertical="center" wrapText="1"/>
      <protection hidden="1"/>
    </xf>
    <xf numFmtId="0" fontId="28" fillId="38" borderId="16" xfId="0" applyFont="1" applyFill="1" applyBorder="1" applyAlignment="1" applyProtection="1">
      <alignment horizontal="center" vertical="center" wrapText="1"/>
      <protection hidden="1"/>
    </xf>
    <xf numFmtId="10" fontId="28" fillId="38" borderId="16" xfId="0" applyNumberFormat="1" applyFont="1" applyFill="1" applyBorder="1" applyAlignment="1" applyProtection="1">
      <alignment horizontal="center" vertical="center"/>
      <protection hidden="1"/>
    </xf>
    <xf numFmtId="0" fontId="13" fillId="0" borderId="0" xfId="0" applyFont="1" applyAlignment="1">
      <alignment vertical="center"/>
    </xf>
    <xf numFmtId="0" fontId="19" fillId="0" borderId="0" xfId="0" applyFont="1" applyAlignment="1">
      <alignment vertical="center"/>
    </xf>
    <xf numFmtId="0" fontId="24" fillId="0" borderId="0" xfId="0" applyFont="1" applyAlignment="1">
      <alignment vertical="center"/>
    </xf>
    <xf numFmtId="0" fontId="34" fillId="10" borderId="16" xfId="0" applyFont="1" applyFill="1" applyBorder="1" applyAlignment="1" applyProtection="1">
      <alignment horizontal="center" vertical="center" wrapText="1"/>
      <protection hidden="1"/>
    </xf>
    <xf numFmtId="169" fontId="34" fillId="10" borderId="16" xfId="0" applyNumberFormat="1" applyFont="1" applyFill="1" applyBorder="1" applyAlignment="1" applyProtection="1">
      <alignment horizontal="center" vertical="center"/>
      <protection hidden="1"/>
    </xf>
    <xf numFmtId="0" fontId="34" fillId="11" borderId="16" xfId="0" applyFont="1" applyFill="1" applyBorder="1" applyAlignment="1" applyProtection="1">
      <alignment horizontal="center" vertical="center" wrapText="1"/>
      <protection hidden="1"/>
    </xf>
    <xf numFmtId="0" fontId="0" fillId="0" borderId="0" xfId="0" applyAlignment="1" applyProtection="1">
      <alignment vertical="center" wrapText="1"/>
      <protection hidden="1"/>
    </xf>
    <xf numFmtId="0" fontId="11" fillId="7" borderId="3" xfId="0" applyFont="1" applyFill="1" applyBorder="1" applyAlignment="1" applyProtection="1">
      <alignment horizontal="center" vertical="center" wrapText="1"/>
      <protection hidden="1"/>
    </xf>
    <xf numFmtId="0" fontId="12" fillId="7" borderId="3" xfId="0" applyFont="1" applyFill="1" applyBorder="1" applyAlignment="1" applyProtection="1">
      <alignment horizontal="center" vertical="center"/>
      <protection hidden="1"/>
    </xf>
    <xf numFmtId="0" fontId="13" fillId="0" borderId="0" xfId="0" applyFont="1" applyAlignment="1" applyProtection="1">
      <alignment horizontal="center" vertical="center"/>
      <protection hidden="1"/>
    </xf>
    <xf numFmtId="3" fontId="11" fillId="0" borderId="11" xfId="0" applyNumberFormat="1" applyFont="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12"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27" fillId="0" borderId="0" xfId="0" applyFont="1" applyAlignment="1" applyProtection="1">
      <alignment horizontal="center" vertical="center"/>
      <protection hidden="1"/>
    </xf>
    <xf numFmtId="9" fontId="0" fillId="0" borderId="0" xfId="1" applyFont="1" applyAlignment="1" applyProtection="1">
      <alignment horizontal="center"/>
      <protection hidden="1"/>
    </xf>
    <xf numFmtId="3" fontId="40" fillId="0" borderId="20" xfId="1" applyNumberFormat="1" applyFont="1" applyBorder="1" applyAlignment="1" applyProtection="1">
      <alignment horizontal="center" wrapText="1"/>
      <protection hidden="1"/>
    </xf>
    <xf numFmtId="0" fontId="24" fillId="0" borderId="0" xfId="0" applyFont="1" applyAlignment="1" applyProtection="1">
      <alignment vertical="center" wrapText="1"/>
      <protection hidden="1"/>
    </xf>
    <xf numFmtId="0" fontId="0" fillId="0" borderId="0" xfId="0" applyAlignment="1" applyProtection="1">
      <alignment vertical="center"/>
      <protection hidden="1"/>
    </xf>
    <xf numFmtId="0" fontId="24" fillId="0" borderId="0" xfId="0" applyFont="1" applyAlignment="1" applyProtection="1">
      <alignment vertical="center"/>
      <protection hidden="1"/>
    </xf>
    <xf numFmtId="9" fontId="0" fillId="0" borderId="0" xfId="1" applyFont="1" applyAlignment="1">
      <alignment horizontal="center" vertical="center"/>
    </xf>
    <xf numFmtId="3" fontId="38" fillId="0" borderId="38" xfId="1" applyNumberFormat="1" applyFont="1" applyBorder="1" applyAlignment="1" applyProtection="1">
      <alignment horizontal="center" vertical="center"/>
      <protection hidden="1"/>
    </xf>
    <xf numFmtId="0" fontId="12" fillId="7" borderId="40" xfId="0" applyFont="1" applyFill="1" applyBorder="1" applyAlignment="1" applyProtection="1">
      <alignment horizontal="center" vertical="center"/>
      <protection hidden="1"/>
    </xf>
    <xf numFmtId="3" fontId="28" fillId="0" borderId="0" xfId="0" applyNumberFormat="1" applyFont="1" applyAlignment="1" applyProtection="1">
      <alignment horizontal="center" vertical="center"/>
      <protection locked="0"/>
    </xf>
    <xf numFmtId="10" fontId="28" fillId="38" borderId="16" xfId="0" applyNumberFormat="1" applyFont="1" applyFill="1" applyBorder="1" applyAlignment="1" applyProtection="1">
      <alignment horizontal="center" vertical="center" wrapText="1"/>
      <protection hidden="1"/>
    </xf>
    <xf numFmtId="10" fontId="28" fillId="38" borderId="17" xfId="0" applyNumberFormat="1" applyFont="1" applyFill="1" applyBorder="1" applyAlignment="1" applyProtection="1">
      <alignment horizontal="center" vertical="center" wrapText="1"/>
      <protection hidden="1"/>
    </xf>
    <xf numFmtId="0" fontId="8" fillId="10" borderId="16" xfId="0" applyFont="1" applyFill="1" applyBorder="1" applyAlignment="1" applyProtection="1">
      <alignment horizontal="center" vertical="center"/>
      <protection hidden="1"/>
    </xf>
    <xf numFmtId="0" fontId="28" fillId="32" borderId="16" xfId="0" applyFont="1" applyFill="1" applyBorder="1" applyAlignment="1" applyProtection="1">
      <alignment horizontal="center" vertical="center"/>
      <protection hidden="1"/>
    </xf>
    <xf numFmtId="0" fontId="28" fillId="42" borderId="16" xfId="0" applyFont="1" applyFill="1" applyBorder="1" applyAlignment="1" applyProtection="1">
      <alignment horizontal="center" vertical="center"/>
      <protection hidden="1"/>
    </xf>
    <xf numFmtId="166" fontId="28" fillId="42" borderId="16" xfId="0" applyNumberFormat="1" applyFont="1" applyFill="1" applyBorder="1" applyAlignment="1" applyProtection="1">
      <alignment horizontal="center" vertical="center" wrapText="1"/>
      <protection hidden="1"/>
    </xf>
    <xf numFmtId="0" fontId="28" fillId="43" borderId="16" xfId="0" applyFont="1" applyFill="1" applyBorder="1" applyAlignment="1" applyProtection="1">
      <alignment horizontal="center" vertical="center" wrapText="1"/>
      <protection hidden="1"/>
    </xf>
    <xf numFmtId="10" fontId="28" fillId="43" borderId="16" xfId="0" applyNumberFormat="1" applyFont="1" applyFill="1" applyBorder="1" applyAlignment="1" applyProtection="1">
      <alignment horizontal="center" vertical="center"/>
      <protection hidden="1"/>
    </xf>
    <xf numFmtId="0" fontId="13" fillId="0" borderId="0" xfId="0" applyFont="1" applyAlignment="1" applyProtection="1">
      <alignment vertical="center"/>
      <protection hidden="1"/>
    </xf>
    <xf numFmtId="0" fontId="39" fillId="0" borderId="0" xfId="0" applyFont="1" applyAlignment="1" applyProtection="1">
      <alignment horizontal="centerContinuous" vertical="center" wrapText="1"/>
      <protection hidden="1"/>
    </xf>
    <xf numFmtId="0" fontId="39" fillId="0" borderId="0" xfId="0" applyFont="1" applyAlignment="1" applyProtection="1">
      <alignment horizontal="centerContinuous" vertical="justify"/>
      <protection hidden="1"/>
    </xf>
    <xf numFmtId="0" fontId="23" fillId="0" borderId="16" xfId="5" applyFont="1" applyBorder="1" applyAlignment="1" applyProtection="1">
      <alignment horizontal="center" vertical="center" wrapText="1"/>
      <protection hidden="1"/>
    </xf>
    <xf numFmtId="0" fontId="24" fillId="0" borderId="16" xfId="5" applyFont="1" applyBorder="1" applyAlignment="1" applyProtection="1">
      <alignment horizontal="center" vertical="center" wrapText="1"/>
      <protection hidden="1"/>
    </xf>
    <xf numFmtId="0" fontId="28" fillId="0" borderId="16" xfId="5" applyFont="1" applyBorder="1" applyAlignment="1" applyProtection="1">
      <alignment horizontal="center" vertical="center" wrapText="1"/>
      <protection hidden="1"/>
    </xf>
    <xf numFmtId="0" fontId="30" fillId="0" borderId="16" xfId="5" applyFont="1" applyBorder="1" applyAlignment="1" applyProtection="1">
      <alignment horizontal="center" vertical="center"/>
      <protection hidden="1"/>
    </xf>
    <xf numFmtId="0" fontId="23" fillId="0" borderId="16" xfId="5" applyFont="1" applyBorder="1" applyAlignment="1" applyProtection="1">
      <alignment horizontal="center" vertical="center"/>
      <protection hidden="1"/>
    </xf>
    <xf numFmtId="0" fontId="28" fillId="0" borderId="0" xfId="5" applyFont="1" applyProtection="1">
      <protection hidden="1"/>
    </xf>
    <xf numFmtId="0" fontId="23" fillId="0" borderId="17" xfId="5" applyFont="1" applyBorder="1" applyAlignment="1" applyProtection="1">
      <alignment horizontal="center" vertical="center" wrapText="1"/>
      <protection hidden="1"/>
    </xf>
    <xf numFmtId="0" fontId="23" fillId="0" borderId="27" xfId="5" applyFont="1" applyBorder="1" applyAlignment="1" applyProtection="1">
      <alignment horizontal="center" vertical="center" wrapText="1"/>
      <protection hidden="1"/>
    </xf>
    <xf numFmtId="0" fontId="23" fillId="0" borderId="26" xfId="5" applyFont="1" applyBorder="1" applyAlignment="1" applyProtection="1">
      <alignment horizontal="center" vertical="center" wrapText="1"/>
      <protection hidden="1"/>
    </xf>
    <xf numFmtId="0" fontId="23" fillId="0" borderId="36" xfId="5" applyFont="1" applyBorder="1" applyAlignment="1" applyProtection="1">
      <alignment horizontal="center" vertical="center" wrapText="1"/>
      <protection hidden="1"/>
    </xf>
    <xf numFmtId="0" fontId="23" fillId="0" borderId="0" xfId="5" applyFont="1" applyAlignment="1" applyProtection="1">
      <alignment horizontal="center" vertical="center" wrapText="1"/>
      <protection hidden="1"/>
    </xf>
    <xf numFmtId="0" fontId="23" fillId="0" borderId="34" xfId="5" applyFont="1" applyBorder="1" applyAlignment="1" applyProtection="1">
      <alignment horizontal="center" vertical="center" wrapText="1"/>
      <protection hidden="1"/>
    </xf>
    <xf numFmtId="0" fontId="23" fillId="0" borderId="35" xfId="5" applyFont="1" applyBorder="1" applyAlignment="1" applyProtection="1">
      <alignment horizontal="center" vertical="center" wrapText="1"/>
      <protection hidden="1"/>
    </xf>
    <xf numFmtId="0" fontId="28" fillId="0" borderId="0" xfId="5" applyFont="1" applyAlignment="1" applyProtection="1">
      <alignment vertical="center"/>
      <protection hidden="1"/>
    </xf>
    <xf numFmtId="0" fontId="23" fillId="0" borderId="18" xfId="5" applyFont="1" applyBorder="1" applyAlignment="1" applyProtection="1">
      <alignment horizontal="center" vertical="center" wrapText="1"/>
      <protection hidden="1"/>
    </xf>
    <xf numFmtId="0" fontId="28" fillId="0" borderId="16" xfId="5" applyFont="1" applyBorder="1" applyAlignment="1" applyProtection="1">
      <alignment horizontal="center" vertical="center"/>
      <protection hidden="1"/>
    </xf>
    <xf numFmtId="0" fontId="23" fillId="0" borderId="17" xfId="5" applyFont="1" applyBorder="1" applyAlignment="1" applyProtection="1">
      <alignment horizontal="center" vertical="center"/>
      <protection hidden="1"/>
    </xf>
    <xf numFmtId="0" fontId="30" fillId="0" borderId="17" xfId="5" applyFont="1" applyBorder="1" applyAlignment="1" applyProtection="1">
      <alignment horizontal="center" vertical="center"/>
      <protection hidden="1"/>
    </xf>
    <xf numFmtId="0" fontId="30" fillId="0" borderId="18" xfId="5" applyFont="1" applyBorder="1" applyAlignment="1" applyProtection="1">
      <alignment horizontal="center" vertical="center"/>
      <protection hidden="1"/>
    </xf>
    <xf numFmtId="0" fontId="23" fillId="0" borderId="34" xfId="5" applyFont="1" applyBorder="1" applyAlignment="1" applyProtection="1">
      <alignment horizontal="center" vertical="center"/>
      <protection hidden="1"/>
    </xf>
    <xf numFmtId="0" fontId="23" fillId="0" borderId="35" xfId="5" applyFont="1" applyBorder="1" applyAlignment="1" applyProtection="1">
      <alignment horizontal="center" vertical="center"/>
      <protection hidden="1"/>
    </xf>
    <xf numFmtId="0" fontId="23" fillId="0" borderId="18" xfId="5" applyFont="1" applyBorder="1" applyAlignment="1" applyProtection="1">
      <alignment horizontal="center" vertical="center"/>
      <protection hidden="1"/>
    </xf>
    <xf numFmtId="0" fontId="23" fillId="0" borderId="27" xfId="5" applyFont="1" applyBorder="1" applyAlignment="1" applyProtection="1">
      <alignment horizontal="center" vertical="center"/>
      <protection hidden="1"/>
    </xf>
    <xf numFmtId="0" fontId="23" fillId="0" borderId="26" xfId="5" applyFont="1" applyBorder="1" applyAlignment="1" applyProtection="1">
      <alignment horizontal="center" vertical="center"/>
      <protection hidden="1"/>
    </xf>
    <xf numFmtId="0" fontId="24" fillId="0" borderId="0" xfId="5" applyFont="1" applyAlignment="1" applyProtection="1">
      <alignment horizontal="center" vertical="center"/>
      <protection hidden="1"/>
    </xf>
    <xf numFmtId="0" fontId="24" fillId="0" borderId="0" xfId="5" applyFont="1" applyAlignment="1" applyProtection="1">
      <alignment vertical="center" wrapText="1"/>
      <protection hidden="1"/>
    </xf>
    <xf numFmtId="0" fontId="28" fillId="0" borderId="0" xfId="5" applyFont="1" applyAlignment="1" applyProtection="1">
      <alignment horizontal="center" vertical="center" wrapText="1"/>
      <protection hidden="1"/>
    </xf>
    <xf numFmtId="0" fontId="24" fillId="0" borderId="0" xfId="5" applyFont="1" applyAlignment="1" applyProtection="1">
      <alignment horizontal="center" vertical="center" wrapText="1"/>
      <protection hidden="1"/>
    </xf>
    <xf numFmtId="0" fontId="28" fillId="0" borderId="0" xfId="5" applyFont="1" applyAlignment="1" applyProtection="1">
      <alignment horizontal="center" vertical="center"/>
      <protection hidden="1"/>
    </xf>
    <xf numFmtId="0" fontId="44" fillId="0" borderId="0" xfId="5" applyFont="1" applyAlignment="1" applyProtection="1">
      <alignment horizontal="center" vertical="center"/>
      <protection hidden="1"/>
    </xf>
    <xf numFmtId="0" fontId="44" fillId="0" borderId="0" xfId="5" applyFont="1" applyAlignment="1" applyProtection="1">
      <alignment horizontal="center" vertical="center" wrapText="1"/>
      <protection hidden="1"/>
    </xf>
    <xf numFmtId="0" fontId="28" fillId="0" borderId="0" xfId="5" applyFont="1" applyAlignment="1" applyProtection="1">
      <alignment horizontal="center"/>
      <protection hidden="1"/>
    </xf>
    <xf numFmtId="1" fontId="28" fillId="0" borderId="16" xfId="5" applyNumberFormat="1" applyFont="1" applyBorder="1" applyAlignment="1" applyProtection="1">
      <alignment horizontal="center" vertical="center" wrapText="1"/>
      <protection hidden="1"/>
    </xf>
    <xf numFmtId="1" fontId="24" fillId="0" borderId="16" xfId="5" applyNumberFormat="1" applyFont="1" applyBorder="1" applyAlignment="1" applyProtection="1">
      <alignment horizontal="center" vertical="center" wrapText="1"/>
      <protection hidden="1"/>
    </xf>
    <xf numFmtId="0" fontId="44" fillId="0" borderId="0" xfId="6" applyNumberFormat="1" applyFont="1" applyAlignment="1" applyProtection="1">
      <alignment horizontal="center" vertical="center" wrapText="1"/>
      <protection hidden="1"/>
    </xf>
    <xf numFmtId="171" fontId="48" fillId="0" borderId="0" xfId="0" applyNumberFormat="1" applyFont="1" applyAlignment="1" applyProtection="1">
      <alignment horizontal="center" vertical="center"/>
      <protection hidden="1"/>
    </xf>
    <xf numFmtId="0" fontId="28" fillId="0" borderId="0" xfId="5" applyFont="1" applyAlignment="1" applyProtection="1">
      <alignment horizontal="left"/>
      <protection hidden="1"/>
    </xf>
    <xf numFmtId="0" fontId="28" fillId="0" borderId="0" xfId="5" applyFont="1" applyAlignment="1" applyProtection="1">
      <alignment horizontal="left" vertical="center"/>
      <protection hidden="1"/>
    </xf>
    <xf numFmtId="0" fontId="34" fillId="0" borderId="0" xfId="0" applyFont="1" applyAlignment="1" applyProtection="1">
      <alignment vertical="center"/>
      <protection hidden="1"/>
    </xf>
    <xf numFmtId="0" fontId="29" fillId="13" borderId="16" xfId="0" applyFont="1" applyFill="1" applyBorder="1" applyAlignment="1" applyProtection="1">
      <alignment horizontal="center" vertical="center"/>
      <protection hidden="1"/>
    </xf>
    <xf numFmtId="3" fontId="34" fillId="4" borderId="1" xfId="0" applyNumberFormat="1" applyFont="1" applyFill="1" applyBorder="1" applyAlignment="1" applyProtection="1">
      <alignment horizontal="center" vertical="center" wrapText="1"/>
      <protection hidden="1"/>
    </xf>
    <xf numFmtId="0" fontId="34" fillId="13" borderId="18" xfId="0" applyFont="1" applyFill="1" applyBorder="1" applyAlignment="1" applyProtection="1">
      <alignment horizontal="center" vertical="center"/>
      <protection locked="0" hidden="1"/>
    </xf>
    <xf numFmtId="0" fontId="30" fillId="13" borderId="16" xfId="0" applyFont="1" applyFill="1" applyBorder="1" applyAlignment="1" applyProtection="1">
      <alignment vertical="center"/>
      <protection hidden="1"/>
    </xf>
    <xf numFmtId="3" fontId="34" fillId="4" borderId="19" xfId="0" applyNumberFormat="1" applyFont="1" applyFill="1" applyBorder="1" applyAlignment="1" applyProtection="1">
      <alignment horizontal="center" vertical="center" wrapText="1"/>
      <protection hidden="1"/>
    </xf>
    <xf numFmtId="0" fontId="44" fillId="13" borderId="16" xfId="0" applyFont="1" applyFill="1" applyBorder="1" applyAlignment="1" applyProtection="1">
      <alignment horizontal="center" vertical="center"/>
      <protection hidden="1"/>
    </xf>
    <xf numFmtId="0" fontId="6" fillId="22" borderId="16" xfId="0" applyFont="1" applyFill="1" applyBorder="1" applyAlignment="1" applyProtection="1">
      <alignment horizontal="left" vertical="center" wrapText="1"/>
      <protection hidden="1"/>
    </xf>
    <xf numFmtId="0" fontId="45" fillId="22" borderId="16" xfId="0" applyFont="1" applyFill="1" applyBorder="1" applyAlignment="1" applyProtection="1">
      <alignment horizontal="center" vertical="center" wrapText="1"/>
      <protection hidden="1"/>
    </xf>
    <xf numFmtId="0" fontId="6" fillId="22" borderId="16" xfId="0" applyFont="1" applyFill="1" applyBorder="1" applyAlignment="1" applyProtection="1">
      <alignment vertical="center" wrapText="1"/>
      <protection hidden="1"/>
    </xf>
    <xf numFmtId="0" fontId="8" fillId="22" borderId="16" xfId="0" applyFont="1" applyFill="1" applyBorder="1" applyAlignment="1" applyProtection="1">
      <alignment vertical="center" wrapText="1"/>
      <protection hidden="1"/>
    </xf>
    <xf numFmtId="0" fontId="29" fillId="22" borderId="16" xfId="0" applyFont="1" applyFill="1" applyBorder="1" applyAlignment="1" applyProtection="1">
      <alignment horizontal="left" vertical="center" wrapText="1"/>
      <protection hidden="1"/>
    </xf>
    <xf numFmtId="0" fontId="46" fillId="22" borderId="16" xfId="0" applyFont="1" applyFill="1" applyBorder="1" applyAlignment="1" applyProtection="1">
      <alignment horizontal="center" vertical="center" wrapText="1"/>
      <protection hidden="1"/>
    </xf>
    <xf numFmtId="0" fontId="8" fillId="22" borderId="16" xfId="0" applyFont="1" applyFill="1" applyBorder="1" applyAlignment="1" applyProtection="1">
      <alignment horizontal="left" vertical="center" wrapText="1"/>
      <protection hidden="1"/>
    </xf>
    <xf numFmtId="0" fontId="29" fillId="10" borderId="16" xfId="0" applyFont="1" applyFill="1" applyBorder="1" applyAlignment="1" applyProtection="1">
      <alignment horizontal="center" vertical="center"/>
      <protection hidden="1"/>
    </xf>
    <xf numFmtId="0" fontId="29" fillId="32" borderId="16" xfId="0" applyFont="1" applyFill="1" applyBorder="1" applyAlignment="1" applyProtection="1">
      <alignment horizontal="left" vertical="center" wrapText="1"/>
      <protection hidden="1"/>
    </xf>
    <xf numFmtId="0" fontId="34" fillId="10" borderId="18" xfId="0" applyFont="1" applyFill="1" applyBorder="1" applyAlignment="1" applyProtection="1">
      <alignment horizontal="center" vertical="center"/>
      <protection locked="0" hidden="1"/>
    </xf>
    <xf numFmtId="0" fontId="46" fillId="32" borderId="16" xfId="0" applyFont="1" applyFill="1" applyBorder="1" applyAlignment="1" applyProtection="1">
      <alignment horizontal="center" vertical="center" wrapText="1"/>
      <protection hidden="1"/>
    </xf>
    <xf numFmtId="0" fontId="8" fillId="32" borderId="16" xfId="0" applyFont="1" applyFill="1" applyBorder="1" applyAlignment="1" applyProtection="1">
      <alignment horizontal="left" vertical="center" wrapText="1"/>
      <protection hidden="1"/>
    </xf>
    <xf numFmtId="0" fontId="45" fillId="32" borderId="16" xfId="0" applyFont="1" applyFill="1" applyBorder="1" applyAlignment="1" applyProtection="1">
      <alignment horizontal="center" vertical="center" wrapText="1"/>
      <protection hidden="1"/>
    </xf>
    <xf numFmtId="0" fontId="8" fillId="33" borderId="16" xfId="0" applyFont="1" applyFill="1" applyBorder="1" applyAlignment="1" applyProtection="1">
      <alignment vertical="center" wrapText="1"/>
      <protection hidden="1"/>
    </xf>
    <xf numFmtId="0" fontId="45" fillId="33" borderId="16" xfId="0" applyFont="1" applyFill="1" applyBorder="1" applyAlignment="1" applyProtection="1">
      <alignment horizontal="center" vertical="center" wrapText="1"/>
      <protection hidden="1"/>
    </xf>
    <xf numFmtId="0" fontId="29" fillId="31" borderId="16" xfId="0" applyFont="1" applyFill="1" applyBorder="1" applyAlignment="1" applyProtection="1">
      <alignment horizontal="center" vertical="center"/>
      <protection hidden="1"/>
    </xf>
    <xf numFmtId="0" fontId="29" fillId="31" borderId="16" xfId="0" applyFont="1" applyFill="1" applyBorder="1" applyAlignment="1" applyProtection="1">
      <alignment horizontal="left" vertical="center" wrapText="1"/>
      <protection hidden="1"/>
    </xf>
    <xf numFmtId="0" fontId="34" fillId="24" borderId="18" xfId="0" applyFont="1" applyFill="1" applyBorder="1" applyAlignment="1" applyProtection="1">
      <alignment horizontal="center" vertical="center"/>
      <protection locked="0" hidden="1"/>
    </xf>
    <xf numFmtId="0" fontId="46" fillId="31" borderId="16" xfId="0" applyFont="1" applyFill="1" applyBorder="1" applyAlignment="1" applyProtection="1">
      <alignment horizontal="center" vertical="center" wrapText="1"/>
      <protection hidden="1"/>
    </xf>
    <xf numFmtId="0" fontId="8" fillId="31" borderId="16" xfId="0" applyFont="1" applyFill="1" applyBorder="1" applyAlignment="1" applyProtection="1">
      <alignment horizontal="left" vertical="center" wrapText="1"/>
      <protection hidden="1"/>
    </xf>
    <xf numFmtId="0" fontId="45" fillId="31" borderId="16" xfId="0" applyFont="1" applyFill="1" applyBorder="1" applyAlignment="1" applyProtection="1">
      <alignment horizontal="center" vertical="center" wrapText="1"/>
      <protection hidden="1"/>
    </xf>
    <xf numFmtId="0" fontId="8" fillId="31" borderId="16" xfId="0" applyFont="1" applyFill="1" applyBorder="1" applyAlignment="1" applyProtection="1">
      <alignment vertical="center" wrapText="1"/>
      <protection hidden="1"/>
    </xf>
    <xf numFmtId="0" fontId="29" fillId="27" borderId="16" xfId="0" applyFont="1" applyFill="1" applyBorder="1" applyAlignment="1" applyProtection="1">
      <alignment horizontal="center" vertical="center"/>
      <protection hidden="1"/>
    </xf>
    <xf numFmtId="0" fontId="29" fillId="26" borderId="16" xfId="0" applyFont="1" applyFill="1" applyBorder="1" applyAlignment="1" applyProtection="1">
      <alignment horizontal="left" vertical="center" wrapText="1"/>
      <protection hidden="1"/>
    </xf>
    <xf numFmtId="0" fontId="34" fillId="27" borderId="18" xfId="0" applyFont="1" applyFill="1" applyBorder="1" applyAlignment="1" applyProtection="1">
      <alignment horizontal="center" vertical="center"/>
      <protection locked="0" hidden="1"/>
    </xf>
    <xf numFmtId="0" fontId="46" fillId="26" borderId="16" xfId="0" applyFont="1" applyFill="1" applyBorder="1" applyAlignment="1" applyProtection="1">
      <alignment horizontal="center" vertical="center" wrapText="1"/>
      <protection hidden="1"/>
    </xf>
    <xf numFmtId="0" fontId="8" fillId="26" borderId="16" xfId="0" applyFont="1" applyFill="1" applyBorder="1" applyAlignment="1" applyProtection="1">
      <alignment horizontal="left" vertical="center" wrapText="1"/>
      <protection hidden="1"/>
    </xf>
    <xf numFmtId="0" fontId="45" fillId="26" borderId="16" xfId="0" applyFont="1" applyFill="1" applyBorder="1" applyAlignment="1" applyProtection="1">
      <alignment horizontal="center" vertical="center" wrapText="1"/>
      <protection hidden="1"/>
    </xf>
    <xf numFmtId="0" fontId="45" fillId="36" borderId="16" xfId="0" applyFont="1" applyFill="1" applyBorder="1" applyAlignment="1" applyProtection="1">
      <alignment horizontal="center" vertical="center" wrapText="1"/>
      <protection hidden="1"/>
    </xf>
    <xf numFmtId="0" fontId="29" fillId="30" borderId="16" xfId="0" applyFont="1" applyFill="1" applyBorder="1" applyAlignment="1" applyProtection="1">
      <alignment horizontal="left" vertical="center" wrapText="1"/>
      <protection hidden="1"/>
    </xf>
    <xf numFmtId="0" fontId="46" fillId="30" borderId="16" xfId="0" applyFont="1" applyFill="1" applyBorder="1" applyAlignment="1" applyProtection="1">
      <alignment horizontal="center" vertical="center" wrapText="1"/>
      <protection hidden="1"/>
    </xf>
    <xf numFmtId="0" fontId="8" fillId="30" borderId="16" xfId="0" applyFont="1" applyFill="1" applyBorder="1" applyAlignment="1" applyProtection="1">
      <alignment horizontal="left" vertical="center" wrapText="1"/>
      <protection hidden="1"/>
    </xf>
    <xf numFmtId="0" fontId="45" fillId="30" borderId="16" xfId="0" applyFont="1" applyFill="1" applyBorder="1" applyAlignment="1" applyProtection="1">
      <alignment horizontal="center" vertical="center" wrapText="1"/>
      <protection hidden="1"/>
    </xf>
    <xf numFmtId="0" fontId="45" fillId="23" borderId="16" xfId="0" applyFont="1" applyFill="1" applyBorder="1" applyAlignment="1" applyProtection="1">
      <alignment horizontal="center" vertical="center" wrapText="1"/>
      <protection hidden="1"/>
    </xf>
    <xf numFmtId="0" fontId="29" fillId="28" borderId="16" xfId="0" applyFont="1" applyFill="1" applyBorder="1" applyAlignment="1" applyProtection="1">
      <alignment horizontal="center" vertical="center"/>
      <protection hidden="1"/>
    </xf>
    <xf numFmtId="0" fontId="29" fillId="29" borderId="16" xfId="0" applyFont="1" applyFill="1" applyBorder="1" applyAlignment="1" applyProtection="1">
      <alignment horizontal="left" vertical="center" wrapText="1"/>
      <protection hidden="1"/>
    </xf>
    <xf numFmtId="0" fontId="34" fillId="28" borderId="18" xfId="0" applyFont="1" applyFill="1" applyBorder="1" applyAlignment="1" applyProtection="1">
      <alignment horizontal="center" vertical="center"/>
      <protection locked="0" hidden="1"/>
    </xf>
    <xf numFmtId="0" fontId="46" fillId="29" borderId="16" xfId="0" applyFont="1" applyFill="1" applyBorder="1" applyAlignment="1" applyProtection="1">
      <alignment horizontal="center" vertical="center" wrapText="1"/>
      <protection hidden="1"/>
    </xf>
    <xf numFmtId="0" fontId="8" fillId="29" borderId="16" xfId="0" applyFont="1" applyFill="1" applyBorder="1" applyAlignment="1" applyProtection="1">
      <alignment horizontal="left" vertical="center" wrapText="1"/>
      <protection hidden="1"/>
    </xf>
    <xf numFmtId="0" fontId="45" fillId="29" borderId="16" xfId="0" applyFont="1" applyFill="1" applyBorder="1" applyAlignment="1" applyProtection="1">
      <alignment horizontal="center" vertical="center" wrapText="1"/>
      <protection hidden="1"/>
    </xf>
    <xf numFmtId="0" fontId="34" fillId="29" borderId="16" xfId="0" applyFont="1" applyFill="1" applyBorder="1" applyAlignment="1" applyProtection="1">
      <alignment horizontal="left" vertical="center" wrapText="1"/>
      <protection hidden="1"/>
    </xf>
    <xf numFmtId="1" fontId="47" fillId="29" borderId="16" xfId="0" applyNumberFormat="1" applyFont="1" applyFill="1" applyBorder="1" applyAlignment="1" applyProtection="1">
      <alignment horizontal="center" vertical="center" wrapText="1"/>
      <protection hidden="1"/>
    </xf>
    <xf numFmtId="1" fontId="45" fillId="29" borderId="16" xfId="0" applyNumberFormat="1" applyFont="1" applyFill="1" applyBorder="1" applyAlignment="1" applyProtection="1">
      <alignment horizontal="center" vertical="center" wrapText="1"/>
      <protection hidden="1"/>
    </xf>
    <xf numFmtId="0" fontId="29" fillId="25" borderId="17" xfId="0" applyFont="1" applyFill="1" applyBorder="1" applyAlignment="1" applyProtection="1">
      <alignment horizontal="center" vertical="center"/>
      <protection hidden="1"/>
    </xf>
    <xf numFmtId="0" fontId="29" fillId="25" borderId="18" xfId="0" applyFont="1" applyFill="1" applyBorder="1" applyAlignment="1" applyProtection="1">
      <alignment vertical="center"/>
      <protection hidden="1"/>
    </xf>
    <xf numFmtId="0" fontId="34" fillId="0" borderId="18" xfId="0" applyFont="1" applyBorder="1" applyAlignment="1" applyProtection="1">
      <alignment horizontal="center" vertical="center"/>
      <protection locked="0" hidden="1"/>
    </xf>
    <xf numFmtId="0" fontId="46" fillId="25" borderId="16" xfId="0" applyFont="1" applyFill="1" applyBorder="1" applyAlignment="1" applyProtection="1">
      <alignment horizontal="center" vertical="center"/>
      <protection hidden="1"/>
    </xf>
    <xf numFmtId="0" fontId="23" fillId="0" borderId="16" xfId="5" applyFont="1" applyBorder="1" applyAlignment="1">
      <alignment horizontal="center" vertical="center" wrapText="1"/>
    </xf>
    <xf numFmtId="0" fontId="23" fillId="0" borderId="16" xfId="5" applyFont="1" applyBorder="1" applyAlignment="1">
      <alignment horizontal="left" vertical="center" wrapText="1"/>
    </xf>
    <xf numFmtId="0" fontId="43" fillId="0" borderId="17" xfId="5" applyFont="1" applyBorder="1" applyAlignment="1">
      <alignment horizontal="centerContinuous" vertical="center" wrapText="1"/>
    </xf>
    <xf numFmtId="0" fontId="24" fillId="0" borderId="25" xfId="5" applyFont="1" applyBorder="1" applyAlignment="1">
      <alignment horizontal="centerContinuous" vertical="center" wrapText="1"/>
    </xf>
    <xf numFmtId="0" fontId="24" fillId="0" borderId="16" xfId="5" applyFont="1" applyBorder="1" applyAlignment="1">
      <alignment vertical="center" wrapText="1"/>
    </xf>
    <xf numFmtId="0" fontId="24" fillId="0" borderId="17" xfId="5" applyFont="1" applyBorder="1" applyAlignment="1">
      <alignment horizontal="centerContinuous" vertical="center" wrapText="1"/>
    </xf>
    <xf numFmtId="0" fontId="23" fillId="0" borderId="16" xfId="5" applyFont="1" applyBorder="1" applyAlignment="1">
      <alignment vertical="center" wrapText="1"/>
    </xf>
    <xf numFmtId="0" fontId="23" fillId="0" borderId="17" xfId="5" applyFont="1" applyBorder="1" applyAlignment="1">
      <alignment horizontal="centerContinuous" vertical="center"/>
    </xf>
    <xf numFmtId="0" fontId="24" fillId="0" borderId="25" xfId="5" applyFont="1" applyBorder="1" applyAlignment="1">
      <alignment horizontal="centerContinuous" vertical="center"/>
    </xf>
    <xf numFmtId="0" fontId="24" fillId="0" borderId="17" xfId="5" applyFont="1" applyBorder="1" applyAlignment="1">
      <alignment horizontal="centerContinuous" vertical="center"/>
    </xf>
    <xf numFmtId="0" fontId="43" fillId="0" borderId="17" xfId="5" applyFont="1" applyBorder="1" applyAlignment="1">
      <alignment horizontal="centerContinuous" vertical="center"/>
    </xf>
    <xf numFmtId="0" fontId="24" fillId="0" borderId="16" xfId="5" applyFont="1" applyBorder="1" applyAlignment="1">
      <alignment horizontal="left" vertical="center" wrapText="1"/>
    </xf>
    <xf numFmtId="0" fontId="42" fillId="45" borderId="16" xfId="5" applyFont="1" applyFill="1" applyBorder="1" applyAlignment="1">
      <alignment horizontal="center" vertical="center" wrapText="1"/>
    </xf>
    <xf numFmtId="0" fontId="28" fillId="0" borderId="26" xfId="5" applyFont="1" applyBorder="1" applyAlignment="1">
      <alignment horizontal="left"/>
    </xf>
    <xf numFmtId="0" fontId="28" fillId="0" borderId="26" xfId="5" applyFont="1" applyBorder="1" applyAlignment="1">
      <alignment horizontal="center"/>
    </xf>
    <xf numFmtId="0" fontId="28" fillId="0" borderId="28" xfId="5" applyFont="1" applyBorder="1" applyAlignment="1">
      <alignment horizontal="center"/>
    </xf>
    <xf numFmtId="0" fontId="28" fillId="0" borderId="0" xfId="5" applyFont="1" applyAlignment="1">
      <alignment horizontal="left"/>
    </xf>
    <xf numFmtId="0" fontId="28" fillId="0" borderId="0" xfId="5" applyFont="1" applyAlignment="1">
      <alignment horizontal="center"/>
    </xf>
    <xf numFmtId="0" fontId="28" fillId="0" borderId="29" xfId="5" applyFont="1" applyBorder="1" applyAlignment="1">
      <alignment horizontal="center"/>
    </xf>
    <xf numFmtId="0" fontId="28" fillId="0" borderId="35" xfId="5" applyFont="1" applyBorder="1" applyAlignment="1">
      <alignment horizontal="left"/>
    </xf>
    <xf numFmtId="0" fontId="28" fillId="0" borderId="35" xfId="5" applyFont="1" applyBorder="1" applyAlignment="1">
      <alignment horizontal="center"/>
    </xf>
    <xf numFmtId="0" fontId="28" fillId="0" borderId="30" xfId="5" applyFont="1" applyBorder="1" applyAlignment="1">
      <alignment horizontal="center"/>
    </xf>
    <xf numFmtId="0" fontId="34" fillId="35" borderId="1" xfId="5" applyFont="1" applyFill="1" applyBorder="1" applyAlignment="1">
      <alignment horizontal="left" vertical="top" wrapText="1"/>
    </xf>
    <xf numFmtId="0" fontId="34" fillId="35" borderId="1" xfId="5" applyFont="1" applyFill="1" applyBorder="1" applyAlignment="1">
      <alignment horizontal="center" vertical="top" wrapText="1"/>
    </xf>
    <xf numFmtId="0" fontId="4" fillId="35" borderId="53" xfId="5" applyFill="1" applyBorder="1" applyAlignment="1">
      <alignment horizontal="center" vertical="top" wrapText="1"/>
    </xf>
    <xf numFmtId="0" fontId="28" fillId="0" borderId="18" xfId="5" applyFont="1" applyBorder="1" applyAlignment="1">
      <alignment horizontal="left" wrapText="1"/>
    </xf>
    <xf numFmtId="0" fontId="28" fillId="0" borderId="18" xfId="5" applyFont="1" applyBorder="1" applyAlignment="1">
      <alignment horizontal="center" wrapText="1"/>
    </xf>
    <xf numFmtId="0" fontId="28" fillId="0" borderId="25" xfId="5" applyFont="1" applyBorder="1" applyAlignment="1">
      <alignment horizontal="center" wrapText="1"/>
    </xf>
    <xf numFmtId="0" fontId="28" fillId="0" borderId="26" xfId="5" applyFont="1" applyBorder="1" applyAlignment="1">
      <alignment horizontal="left" wrapText="1"/>
    </xf>
    <xf numFmtId="0" fontId="28" fillId="0" borderId="26" xfId="5" applyFont="1" applyBorder="1" applyAlignment="1">
      <alignment horizontal="center" wrapText="1"/>
    </xf>
    <xf numFmtId="0" fontId="28" fillId="0" borderId="28" xfId="5" applyFont="1" applyBorder="1" applyAlignment="1">
      <alignment horizontal="center" wrapText="1"/>
    </xf>
    <xf numFmtId="0" fontId="28" fillId="0" borderId="35" xfId="5" applyFont="1" applyBorder="1" applyAlignment="1">
      <alignment horizontal="left" wrapText="1"/>
    </xf>
    <xf numFmtId="0" fontId="28" fillId="0" borderId="35" xfId="5" applyFont="1" applyBorder="1" applyAlignment="1">
      <alignment horizontal="center" wrapText="1"/>
    </xf>
    <xf numFmtId="0" fontId="28" fillId="0" borderId="30" xfId="5" applyFont="1" applyBorder="1" applyAlignment="1">
      <alignment horizontal="center" wrapText="1"/>
    </xf>
    <xf numFmtId="0" fontId="4" fillId="35" borderId="1" xfId="5" applyFill="1" applyBorder="1" applyAlignment="1">
      <alignment horizontal="left" vertical="top" wrapText="1"/>
    </xf>
    <xf numFmtId="0" fontId="34" fillId="35" borderId="1" xfId="5" applyFont="1" applyFill="1" applyBorder="1" applyAlignment="1">
      <alignment horizontal="left" vertical="top" wrapText="1" readingOrder="1"/>
    </xf>
    <xf numFmtId="0" fontId="4" fillId="35" borderId="1" xfId="5" applyFill="1" applyBorder="1" applyAlignment="1">
      <alignment horizontal="center" vertical="top" wrapText="1"/>
    </xf>
    <xf numFmtId="0" fontId="28" fillId="0" borderId="16" xfId="5" applyFont="1" applyBorder="1" applyAlignment="1">
      <alignment horizontal="center" vertical="center" wrapText="1"/>
    </xf>
    <xf numFmtId="0" fontId="28" fillId="0" borderId="0" xfId="5" applyFont="1" applyAlignment="1">
      <alignment horizontal="left" wrapText="1"/>
    </xf>
    <xf numFmtId="0" fontId="28" fillId="0" borderId="0" xfId="5" applyFont="1" applyAlignment="1">
      <alignment horizontal="center" wrapText="1"/>
    </xf>
    <xf numFmtId="0" fontId="28" fillId="0" borderId="29" xfId="5" applyFont="1" applyBorder="1" applyAlignment="1">
      <alignment horizontal="center" wrapText="1"/>
    </xf>
    <xf numFmtId="0" fontId="28" fillId="0" borderId="16" xfId="5" applyFont="1" applyBorder="1" applyAlignment="1">
      <alignment horizontal="left" vertical="center" wrapText="1"/>
    </xf>
    <xf numFmtId="0" fontId="4" fillId="0" borderId="0" xfId="5" applyAlignment="1">
      <alignment horizontal="left" vertical="center" wrapText="1"/>
    </xf>
    <xf numFmtId="0" fontId="28" fillId="0" borderId="16" xfId="5" applyFont="1" applyBorder="1" applyAlignment="1">
      <alignment horizontal="left" wrapText="1"/>
    </xf>
    <xf numFmtId="0" fontId="28" fillId="0" borderId="16" xfId="5" applyFont="1" applyBorder="1" applyAlignment="1">
      <alignment horizontal="center" wrapText="1"/>
    </xf>
    <xf numFmtId="0" fontId="49" fillId="0" borderId="0" xfId="0" applyFont="1" applyAlignment="1" applyProtection="1">
      <alignment horizontal="centerContinuous" vertical="center" wrapText="1"/>
      <protection hidden="1"/>
    </xf>
    <xf numFmtId="0" fontId="29" fillId="0" borderId="0" xfId="0" applyFont="1" applyAlignment="1" applyProtection="1">
      <alignment horizontal="center" vertical="center"/>
      <protection hidden="1"/>
    </xf>
    <xf numFmtId="0" fontId="34" fillId="0" borderId="0" xfId="0" applyFont="1" applyProtection="1">
      <protection hidden="1"/>
    </xf>
    <xf numFmtId="0" fontId="30" fillId="0" borderId="0" xfId="0" applyFont="1" applyAlignment="1" applyProtection="1">
      <alignment horizontal="center" vertical="center"/>
      <protection hidden="1"/>
    </xf>
    <xf numFmtId="0" fontId="29" fillId="0" borderId="0" xfId="0" applyFont="1" applyAlignment="1" applyProtection="1">
      <alignment horizontal="center" vertical="center" wrapText="1"/>
      <protection hidden="1"/>
    </xf>
    <xf numFmtId="0" fontId="35" fillId="0" borderId="0" xfId="0" applyFont="1" applyAlignment="1" applyProtection="1">
      <alignment vertical="center"/>
      <protection hidden="1"/>
    </xf>
    <xf numFmtId="3" fontId="28" fillId="0" borderId="0" xfId="0" applyNumberFormat="1" applyFont="1" applyAlignment="1" applyProtection="1">
      <alignment horizontal="center" vertical="center"/>
      <protection hidden="1"/>
    </xf>
    <xf numFmtId="0" fontId="32" fillId="0" borderId="0" xfId="0" applyFont="1" applyAlignment="1" applyProtection="1">
      <alignment horizontal="left" vertical="center" wrapText="1"/>
      <protection hidden="1"/>
    </xf>
    <xf numFmtId="0" fontId="0" fillId="0" borderId="0" xfId="0" applyProtection="1">
      <protection hidden="1"/>
    </xf>
    <xf numFmtId="0" fontId="36" fillId="0" borderId="0" xfId="0" applyFont="1" applyProtection="1">
      <protection hidden="1"/>
    </xf>
    <xf numFmtId="0" fontId="37" fillId="0" borderId="0" xfId="0" applyFont="1" applyProtection="1">
      <protection hidden="1"/>
    </xf>
    <xf numFmtId="3" fontId="11" fillId="0" borderId="11" xfId="0" applyNumberFormat="1" applyFont="1" applyBorder="1" applyAlignment="1">
      <alignment horizontal="center" vertical="center"/>
    </xf>
    <xf numFmtId="0" fontId="11" fillId="0" borderId="11" xfId="0" applyFont="1" applyBorder="1" applyAlignment="1">
      <alignment horizontal="center" vertical="center"/>
    </xf>
    <xf numFmtId="0" fontId="11" fillId="9" borderId="0" xfId="0" applyFont="1" applyFill="1" applyAlignment="1">
      <alignment horizontal="centerContinuous" vertical="center"/>
    </xf>
    <xf numFmtId="3" fontId="34" fillId="6" borderId="5" xfId="0" applyNumberFormat="1" applyFont="1" applyFill="1" applyBorder="1" applyAlignment="1">
      <alignment horizontal="centerContinuous" vertical="center" wrapText="1"/>
    </xf>
    <xf numFmtId="0" fontId="34" fillId="6" borderId="4" xfId="0" applyFont="1" applyFill="1" applyBorder="1" applyAlignment="1">
      <alignment horizontal="left" vertical="center" wrapText="1"/>
    </xf>
    <xf numFmtId="3" fontId="34" fillId="6" borderId="15" xfId="0" applyNumberFormat="1" applyFont="1" applyFill="1" applyBorder="1" applyAlignment="1">
      <alignment horizontal="centerContinuous" vertical="center" shrinkToFit="1"/>
    </xf>
    <xf numFmtId="3" fontId="34" fillId="6" borderId="10" xfId="0" applyNumberFormat="1" applyFont="1" applyFill="1" applyBorder="1" applyAlignment="1">
      <alignment vertical="center" shrinkToFit="1"/>
    </xf>
    <xf numFmtId="0" fontId="35" fillId="2" borderId="7" xfId="0" applyFont="1" applyFill="1" applyBorder="1" applyAlignment="1">
      <alignment horizontal="centerContinuous" vertical="center" wrapText="1"/>
    </xf>
    <xf numFmtId="3" fontId="34" fillId="2" borderId="1" xfId="0" applyNumberFormat="1" applyFont="1" applyFill="1" applyBorder="1" applyAlignment="1">
      <alignment horizontal="centerContinuous" vertical="center" wrapText="1"/>
    </xf>
    <xf numFmtId="0" fontId="34" fillId="2" borderId="4" xfId="0" applyFont="1" applyFill="1" applyBorder="1" applyAlignment="1">
      <alignment horizontal="left" vertical="center" wrapText="1"/>
    </xf>
    <xf numFmtId="3" fontId="34" fillId="2" borderId="5" xfId="0" applyNumberFormat="1" applyFont="1" applyFill="1" applyBorder="1" applyAlignment="1">
      <alignment horizontal="centerContinuous" vertical="center" wrapText="1"/>
    </xf>
    <xf numFmtId="3" fontId="34" fillId="2" borderId="1" xfId="0" applyNumberFormat="1" applyFont="1" applyFill="1" applyBorder="1" applyAlignment="1">
      <alignment horizontal="center" vertical="center" wrapText="1"/>
    </xf>
    <xf numFmtId="0" fontId="34" fillId="2" borderId="13" xfId="0" applyFont="1" applyFill="1" applyBorder="1" applyAlignment="1">
      <alignment horizontal="left" vertical="center" wrapText="1"/>
    </xf>
    <xf numFmtId="0" fontId="30" fillId="19" borderId="16" xfId="0" applyFont="1" applyFill="1" applyBorder="1" applyAlignment="1">
      <alignment horizontal="centerContinuous" vertical="center" wrapText="1"/>
    </xf>
    <xf numFmtId="0" fontId="30" fillId="19" borderId="17" xfId="0" applyFont="1" applyFill="1" applyBorder="1" applyAlignment="1">
      <alignment horizontal="centerContinuous" vertical="center" wrapText="1"/>
    </xf>
    <xf numFmtId="0" fontId="30" fillId="19" borderId="17" xfId="0" applyFont="1" applyFill="1" applyBorder="1" applyAlignment="1">
      <alignment horizontal="centerContinuous" vertical="center"/>
    </xf>
    <xf numFmtId="0" fontId="30" fillId="19" borderId="16" xfId="0" applyFont="1" applyFill="1" applyBorder="1" applyAlignment="1">
      <alignment horizontal="centerContinuous" vertical="center"/>
    </xf>
    <xf numFmtId="0" fontId="28" fillId="19" borderId="17" xfId="0" applyFont="1" applyFill="1" applyBorder="1" applyAlignment="1">
      <alignment horizontal="centerContinuous" vertical="center"/>
    </xf>
    <xf numFmtId="0" fontId="28" fillId="19" borderId="16" xfId="0" applyFont="1" applyFill="1" applyBorder="1" applyAlignment="1">
      <alignment horizontal="centerContinuous" vertical="center"/>
    </xf>
    <xf numFmtId="0" fontId="28" fillId="19" borderId="17" xfId="0" applyFont="1" applyFill="1" applyBorder="1" applyAlignment="1">
      <alignment horizontal="centerContinuous" vertical="center" wrapText="1"/>
    </xf>
    <xf numFmtId="0" fontId="28" fillId="19" borderId="16" xfId="0" applyFont="1" applyFill="1" applyBorder="1" applyAlignment="1">
      <alignment horizontal="center" vertical="center"/>
    </xf>
    <xf numFmtId="0" fontId="30" fillId="19" borderId="17" xfId="0" applyFont="1" applyFill="1" applyBorder="1" applyAlignment="1">
      <alignment vertical="center" wrapText="1"/>
    </xf>
    <xf numFmtId="0" fontId="28" fillId="19" borderId="17" xfId="0" applyFont="1" applyFill="1" applyBorder="1" applyAlignment="1">
      <alignment vertical="center" wrapText="1"/>
    </xf>
    <xf numFmtId="0" fontId="28" fillId="19" borderId="31" xfId="0" applyFont="1" applyFill="1" applyBorder="1" applyAlignment="1">
      <alignment horizontal="center" vertical="center"/>
    </xf>
    <xf numFmtId="0" fontId="28" fillId="19" borderId="32" xfId="0" applyFont="1" applyFill="1" applyBorder="1" applyAlignment="1">
      <alignment horizontal="center" vertical="center"/>
    </xf>
    <xf numFmtId="0" fontId="28" fillId="19" borderId="33" xfId="0" applyFont="1" applyFill="1" applyBorder="1" applyAlignment="1">
      <alignment horizontal="center" vertical="center"/>
    </xf>
    <xf numFmtId="0" fontId="30" fillId="19" borderId="31" xfId="0" applyFont="1" applyFill="1" applyBorder="1" applyAlignment="1">
      <alignment horizontal="center" vertical="center"/>
    </xf>
    <xf numFmtId="0" fontId="28" fillId="19" borderId="33" xfId="0" applyFont="1" applyFill="1" applyBorder="1" applyAlignment="1">
      <alignment horizontal="centerContinuous" vertical="center"/>
    </xf>
    <xf numFmtId="0" fontId="28" fillId="19" borderId="17" xfId="0" applyFont="1" applyFill="1" applyBorder="1" applyAlignment="1">
      <alignment horizontal="left" vertical="center" wrapText="1"/>
    </xf>
    <xf numFmtId="0" fontId="30" fillId="19" borderId="25" xfId="0" applyFont="1" applyFill="1" applyBorder="1" applyAlignment="1">
      <alignment horizontal="centerContinuous" vertical="center"/>
    </xf>
    <xf numFmtId="0" fontId="8" fillId="19" borderId="25" xfId="0" applyFont="1" applyFill="1" applyBorder="1" applyAlignment="1">
      <alignment horizontal="centerContinuous" vertical="center" wrapText="1"/>
    </xf>
    <xf numFmtId="3" fontId="35" fillId="2" borderId="4" xfId="0" applyNumberFormat="1" applyFont="1" applyFill="1" applyBorder="1" applyAlignment="1">
      <alignment horizontal="centerContinuous" vertical="center" wrapText="1"/>
    </xf>
    <xf numFmtId="0" fontId="35" fillId="2" borderId="4" xfId="0" applyFont="1" applyFill="1" applyBorder="1" applyAlignment="1">
      <alignment horizontal="centerContinuous" vertical="center" wrapText="1"/>
    </xf>
    <xf numFmtId="3" fontId="34" fillId="2" borderId="2" xfId="0" applyNumberFormat="1" applyFont="1" applyFill="1" applyBorder="1" applyAlignment="1">
      <alignment horizontal="center" vertical="center" wrapText="1"/>
    </xf>
    <xf numFmtId="3" fontId="34" fillId="2" borderId="6" xfId="0" applyNumberFormat="1" applyFont="1" applyFill="1" applyBorder="1" applyAlignment="1">
      <alignment horizontal="center" vertical="center" wrapText="1"/>
    </xf>
    <xf numFmtId="3" fontId="34" fillId="2" borderId="4" xfId="0" applyNumberFormat="1" applyFont="1" applyFill="1" applyBorder="1" applyAlignment="1">
      <alignment horizontal="centerContinuous" vertical="center" wrapText="1"/>
    </xf>
    <xf numFmtId="3" fontId="34" fillId="2" borderId="25" xfId="0" applyNumberFormat="1" applyFont="1" applyFill="1" applyBorder="1" applyAlignment="1">
      <alignment horizontal="centerContinuous" vertical="center" wrapText="1"/>
    </xf>
    <xf numFmtId="0" fontId="34" fillId="2" borderId="11" xfId="0" applyFont="1" applyFill="1" applyBorder="1" applyAlignment="1">
      <alignment horizontal="left" vertical="center" wrapText="1"/>
    </xf>
    <xf numFmtId="3" fontId="34" fillId="2" borderId="6" xfId="0" applyNumberFormat="1" applyFont="1" applyFill="1" applyBorder="1" applyAlignment="1">
      <alignment horizontal="centerContinuous" vertical="center" wrapText="1"/>
    </xf>
    <xf numFmtId="0" fontId="28" fillId="19" borderId="16" xfId="0" applyFont="1" applyFill="1" applyBorder="1" applyAlignment="1">
      <alignment horizontal="centerContinuous" vertical="center" wrapText="1"/>
    </xf>
    <xf numFmtId="0" fontId="28" fillId="19" borderId="25" xfId="0" applyFont="1" applyFill="1" applyBorder="1" applyAlignment="1">
      <alignment horizontal="center" vertical="center" wrapText="1"/>
    </xf>
    <xf numFmtId="0" fontId="28" fillId="19" borderId="16" xfId="0" applyFont="1" applyFill="1" applyBorder="1" applyAlignment="1">
      <alignment horizontal="center" vertical="center" wrapText="1"/>
    </xf>
    <xf numFmtId="0" fontId="28" fillId="19" borderId="25" xfId="0" applyFont="1" applyFill="1" applyBorder="1" applyAlignment="1">
      <alignment horizontal="left" vertical="center" wrapText="1"/>
    </xf>
    <xf numFmtId="0" fontId="35" fillId="5" borderId="9" xfId="0" applyFont="1" applyFill="1" applyBorder="1" applyAlignment="1">
      <alignment horizontal="centerContinuous" vertical="center" wrapText="1"/>
    </xf>
    <xf numFmtId="0" fontId="35" fillId="5" borderId="11" xfId="0" applyFont="1" applyFill="1" applyBorder="1" applyAlignment="1">
      <alignment horizontal="centerContinuous" vertical="center" wrapText="1"/>
    </xf>
    <xf numFmtId="0" fontId="35" fillId="5" borderId="4" xfId="0" applyFont="1" applyFill="1" applyBorder="1" applyAlignment="1">
      <alignment horizontal="centerContinuous" vertical="center" wrapText="1"/>
    </xf>
    <xf numFmtId="0" fontId="34" fillId="5" borderId="1" xfId="0" applyFont="1" applyFill="1" applyBorder="1" applyAlignment="1">
      <alignment horizontal="center" vertical="center" wrapText="1"/>
    </xf>
    <xf numFmtId="0" fontId="34" fillId="5" borderId="4" xfId="0" applyFont="1" applyFill="1" applyBorder="1" applyAlignment="1">
      <alignment horizontal="left" vertical="center" wrapText="1"/>
    </xf>
    <xf numFmtId="3" fontId="35" fillId="5" borderId="4" xfId="0" applyNumberFormat="1" applyFont="1" applyFill="1" applyBorder="1" applyAlignment="1">
      <alignment horizontal="centerContinuous" vertical="center" wrapText="1"/>
    </xf>
    <xf numFmtId="0" fontId="35" fillId="5" borderId="7" xfId="0" applyFont="1" applyFill="1" applyBorder="1" applyAlignment="1">
      <alignment horizontal="centerContinuous" vertical="center" wrapText="1"/>
    </xf>
    <xf numFmtId="3" fontId="34" fillId="5" borderId="2" xfId="0" applyNumberFormat="1" applyFont="1" applyFill="1" applyBorder="1" applyAlignment="1">
      <alignment horizontal="center" vertical="center" wrapText="1"/>
    </xf>
    <xf numFmtId="3" fontId="34" fillId="5" borderId="2" xfId="0" applyNumberFormat="1" applyFont="1" applyFill="1" applyBorder="1" applyAlignment="1">
      <alignment horizontal="centerContinuous" vertical="center" wrapText="1"/>
    </xf>
    <xf numFmtId="0" fontId="28" fillId="12" borderId="17" xfId="0" applyFont="1" applyFill="1" applyBorder="1" applyAlignment="1">
      <alignment vertical="center" wrapText="1"/>
    </xf>
    <xf numFmtId="0" fontId="30" fillId="12" borderId="17" xfId="0" applyFont="1" applyFill="1" applyBorder="1" applyAlignment="1">
      <alignment horizontal="centerContinuous" vertical="center" wrapText="1"/>
    </xf>
    <xf numFmtId="0" fontId="30" fillId="12" borderId="16" xfId="0" applyFont="1" applyFill="1" applyBorder="1" applyAlignment="1">
      <alignment horizontal="centerContinuous" vertical="center" wrapText="1"/>
    </xf>
    <xf numFmtId="0" fontId="35" fillId="5" borderId="54" xfId="0" applyFont="1" applyFill="1" applyBorder="1" applyAlignment="1">
      <alignment horizontal="centerContinuous" vertical="center" wrapText="1"/>
    </xf>
    <xf numFmtId="3" fontId="34" fillId="5" borderId="5" xfId="0" applyNumberFormat="1" applyFont="1" applyFill="1" applyBorder="1" applyAlignment="1">
      <alignment vertical="center" wrapText="1"/>
    </xf>
    <xf numFmtId="0" fontId="28" fillId="12" borderId="0" xfId="0" applyFont="1" applyFill="1" applyAlignment="1">
      <alignment vertical="center" wrapText="1"/>
    </xf>
    <xf numFmtId="3" fontId="34" fillId="5" borderId="43" xfId="0" applyNumberFormat="1" applyFont="1" applyFill="1" applyBorder="1" applyAlignment="1">
      <alignment vertical="center" wrapText="1"/>
    </xf>
    <xf numFmtId="0" fontId="28" fillId="12" borderId="16" xfId="0" applyFont="1" applyFill="1" applyBorder="1" applyAlignment="1">
      <alignment horizontal="center" vertical="center"/>
    </xf>
    <xf numFmtId="0" fontId="28" fillId="12" borderId="25" xfId="0" applyFont="1" applyFill="1" applyBorder="1" applyAlignment="1">
      <alignment horizontal="center" vertical="center"/>
    </xf>
    <xf numFmtId="3" fontId="34" fillId="5" borderId="1" xfId="0" applyNumberFormat="1" applyFont="1" applyFill="1" applyBorder="1" applyAlignment="1">
      <alignment horizontal="centerContinuous" vertical="center" wrapText="1"/>
    </xf>
    <xf numFmtId="0" fontId="28" fillId="12" borderId="52" xfId="0" applyFont="1" applyFill="1" applyBorder="1" applyAlignment="1">
      <alignment horizontal="center" vertical="center"/>
    </xf>
    <xf numFmtId="0" fontId="34" fillId="5" borderId="13" xfId="0" applyFont="1" applyFill="1" applyBorder="1" applyAlignment="1">
      <alignment horizontal="left" vertical="center" wrapText="1"/>
    </xf>
    <xf numFmtId="3" fontId="34" fillId="5" borderId="13" xfId="0" applyNumberFormat="1" applyFont="1" applyFill="1" applyBorder="1" applyAlignment="1">
      <alignment horizontal="centerContinuous" vertical="center" wrapText="1"/>
    </xf>
    <xf numFmtId="0" fontId="34" fillId="5" borderId="11" xfId="0" applyFont="1" applyFill="1" applyBorder="1" applyAlignment="1">
      <alignment horizontal="left" vertical="center" wrapText="1"/>
    </xf>
    <xf numFmtId="0" fontId="30" fillId="14" borderId="16" xfId="0" applyFont="1" applyFill="1" applyBorder="1" applyAlignment="1">
      <alignment horizontal="centerContinuous" vertical="center" wrapText="1"/>
    </xf>
    <xf numFmtId="0" fontId="30" fillId="14" borderId="17" xfId="0" applyFont="1" applyFill="1" applyBorder="1" applyAlignment="1">
      <alignment horizontal="centerContinuous" vertical="center" wrapText="1"/>
    </xf>
    <xf numFmtId="0" fontId="28" fillId="14" borderId="16" xfId="0" applyFont="1" applyFill="1" applyBorder="1" applyAlignment="1">
      <alignment horizontal="centerContinuous" vertical="center"/>
    </xf>
    <xf numFmtId="0" fontId="28" fillId="14" borderId="16" xfId="0" applyFont="1" applyFill="1" applyBorder="1" applyAlignment="1">
      <alignment horizontal="center" vertical="center"/>
    </xf>
    <xf numFmtId="0" fontId="28" fillId="14" borderId="17" xfId="0" applyFont="1" applyFill="1" applyBorder="1" applyAlignment="1">
      <alignment horizontal="left" vertical="center" wrapText="1"/>
    </xf>
    <xf numFmtId="0" fontId="28" fillId="15" borderId="17" xfId="0" applyFont="1" applyFill="1" applyBorder="1" applyAlignment="1">
      <alignment vertical="center" wrapText="1"/>
    </xf>
    <xf numFmtId="0" fontId="28" fillId="14" borderId="17" xfId="0" applyFont="1" applyFill="1" applyBorder="1" applyAlignment="1">
      <alignment horizontal="centerContinuous" vertical="center" wrapText="1"/>
    </xf>
    <xf numFmtId="0" fontId="28" fillId="15" borderId="16" xfId="0" applyFont="1" applyFill="1" applyBorder="1" applyAlignment="1">
      <alignment horizontal="centerContinuous" vertical="center" wrapText="1"/>
    </xf>
    <xf numFmtId="0" fontId="28" fillId="15" borderId="25" xfId="0" applyFont="1" applyFill="1" applyBorder="1" applyAlignment="1">
      <alignment vertical="center" wrapText="1"/>
    </xf>
    <xf numFmtId="0" fontId="30" fillId="15" borderId="17" xfId="0" applyFont="1" applyFill="1" applyBorder="1" applyAlignment="1">
      <alignment horizontal="centerContinuous" vertical="center" wrapText="1"/>
    </xf>
    <xf numFmtId="0" fontId="28" fillId="15" borderId="16" xfId="0" applyFont="1" applyFill="1" applyBorder="1" applyAlignment="1">
      <alignment horizontal="center" vertical="center"/>
    </xf>
    <xf numFmtId="0" fontId="28" fillId="14" borderId="33" xfId="0" applyFont="1" applyFill="1" applyBorder="1" applyAlignment="1">
      <alignment horizontal="center" vertical="center"/>
    </xf>
    <xf numFmtId="0" fontId="28" fillId="14" borderId="34" xfId="0" applyFont="1" applyFill="1" applyBorder="1" applyAlignment="1">
      <alignment horizontal="left" vertical="center"/>
    </xf>
    <xf numFmtId="0" fontId="28" fillId="14" borderId="33" xfId="0" applyFont="1" applyFill="1" applyBorder="1" applyAlignment="1">
      <alignment horizontal="centerContinuous" vertical="center"/>
    </xf>
    <xf numFmtId="0" fontId="28" fillId="14" borderId="34" xfId="0" applyFont="1" applyFill="1" applyBorder="1" applyAlignment="1">
      <alignment horizontal="centerContinuous" vertical="center"/>
    </xf>
    <xf numFmtId="0" fontId="28" fillId="14" borderId="34" xfId="0" applyFont="1" applyFill="1" applyBorder="1" applyAlignment="1">
      <alignment horizontal="left" vertical="center" wrapText="1"/>
    </xf>
    <xf numFmtId="0" fontId="30" fillId="14" borderId="25" xfId="0" applyFont="1" applyFill="1" applyBorder="1" applyAlignment="1">
      <alignment horizontal="centerContinuous" vertical="center"/>
    </xf>
    <xf numFmtId="0" fontId="28" fillId="14" borderId="17" xfId="0" applyFont="1" applyFill="1" applyBorder="1" applyAlignment="1">
      <alignment horizontal="left" vertical="center"/>
    </xf>
    <xf numFmtId="0" fontId="8" fillId="14" borderId="16" xfId="0" applyFont="1" applyFill="1" applyBorder="1" applyAlignment="1">
      <alignment horizontal="centerContinuous" vertical="center"/>
    </xf>
    <xf numFmtId="0" fontId="29" fillId="14" borderId="17" xfId="0" applyFont="1" applyFill="1" applyBorder="1" applyAlignment="1">
      <alignment horizontal="centerContinuous" vertical="center"/>
    </xf>
    <xf numFmtId="0" fontId="8" fillId="14" borderId="25" xfId="0" applyFont="1" applyFill="1" applyBorder="1" applyAlignment="1">
      <alignment horizontal="left" vertical="center"/>
    </xf>
    <xf numFmtId="0" fontId="8" fillId="14" borderId="17" xfId="0" applyFont="1" applyFill="1" applyBorder="1" applyAlignment="1">
      <alignment horizontal="left" vertical="center"/>
    </xf>
    <xf numFmtId="0" fontId="4" fillId="14" borderId="17" xfId="0" applyFont="1" applyFill="1" applyBorder="1" applyAlignment="1">
      <alignment horizontal="left" vertical="center"/>
    </xf>
    <xf numFmtId="0" fontId="4" fillId="14" borderId="16" xfId="0" applyFont="1" applyFill="1" applyBorder="1" applyAlignment="1">
      <alignment horizontal="center" vertical="center"/>
    </xf>
    <xf numFmtId="0" fontId="30" fillId="16" borderId="16" xfId="0" applyFont="1" applyFill="1" applyBorder="1" applyAlignment="1">
      <alignment horizontal="centerContinuous" vertical="center" wrapText="1"/>
    </xf>
    <xf numFmtId="0" fontId="30" fillId="16" borderId="17" xfId="0" applyFont="1" applyFill="1" applyBorder="1" applyAlignment="1">
      <alignment horizontal="centerContinuous" vertical="center" wrapText="1"/>
    </xf>
    <xf numFmtId="0" fontId="28" fillId="16" borderId="16" xfId="0" applyFont="1" applyFill="1" applyBorder="1" applyAlignment="1">
      <alignment horizontal="centerContinuous" vertical="center"/>
    </xf>
    <xf numFmtId="0" fontId="28" fillId="16" borderId="16" xfId="0" applyFont="1" applyFill="1" applyBorder="1" applyAlignment="1">
      <alignment horizontal="center" vertical="center"/>
    </xf>
    <xf numFmtId="0" fontId="28" fillId="16" borderId="17" xfId="0" applyFont="1" applyFill="1" applyBorder="1" applyAlignment="1">
      <alignment vertical="center" wrapText="1"/>
    </xf>
    <xf numFmtId="0" fontId="28" fillId="16" borderId="17" xfId="0" applyFont="1" applyFill="1" applyBorder="1" applyAlignment="1">
      <alignment horizontal="left" vertical="center" wrapText="1"/>
    </xf>
    <xf numFmtId="0" fontId="28" fillId="16" borderId="17" xfId="0" applyFont="1" applyFill="1" applyBorder="1" applyAlignment="1">
      <alignment horizontal="left" vertical="center"/>
    </xf>
    <xf numFmtId="0" fontId="28" fillId="16" borderId="36" xfId="0" applyFont="1" applyFill="1" applyBorder="1" applyAlignment="1">
      <alignment horizontal="left" vertical="center"/>
    </xf>
    <xf numFmtId="0" fontId="28" fillId="16" borderId="33" xfId="0" applyFont="1" applyFill="1" applyBorder="1" applyAlignment="1">
      <alignment horizontal="centerContinuous" vertical="center"/>
    </xf>
    <xf numFmtId="0" fontId="28" fillId="16" borderId="32" xfId="0" applyFont="1" applyFill="1" applyBorder="1" applyAlignment="1">
      <alignment horizontal="center" vertical="center"/>
    </xf>
    <xf numFmtId="0" fontId="28" fillId="16" borderId="34" xfId="0" applyFont="1" applyFill="1" applyBorder="1" applyAlignment="1">
      <alignment horizontal="left" vertical="center"/>
    </xf>
    <xf numFmtId="0" fontId="28" fillId="16" borderId="25" xfId="0" applyFont="1" applyFill="1" applyBorder="1" applyAlignment="1">
      <alignment horizontal="center" vertical="center"/>
    </xf>
    <xf numFmtId="0" fontId="30" fillId="17" borderId="16" xfId="0" applyFont="1" applyFill="1" applyBorder="1" applyAlignment="1">
      <alignment horizontal="centerContinuous" vertical="center" wrapText="1"/>
    </xf>
    <xf numFmtId="0" fontId="30" fillId="17" borderId="17" xfId="0" applyFont="1" applyFill="1" applyBorder="1" applyAlignment="1">
      <alignment horizontal="centerContinuous" vertical="center" wrapText="1"/>
    </xf>
    <xf numFmtId="0" fontId="28" fillId="17" borderId="16" xfId="0" applyFont="1" applyFill="1" applyBorder="1" applyAlignment="1">
      <alignment horizontal="centerContinuous" vertical="center"/>
    </xf>
    <xf numFmtId="0" fontId="28" fillId="17" borderId="17" xfId="0" applyFont="1" applyFill="1" applyBorder="1" applyAlignment="1">
      <alignment horizontal="centerContinuous" vertical="center"/>
    </xf>
    <xf numFmtId="0" fontId="28" fillId="17" borderId="16" xfId="0" applyFont="1" applyFill="1" applyBorder="1" applyAlignment="1">
      <alignment horizontal="center" vertical="center"/>
    </xf>
    <xf numFmtId="0" fontId="28" fillId="17" borderId="17" xfId="0" applyFont="1" applyFill="1" applyBorder="1" applyAlignment="1">
      <alignment vertical="center" wrapText="1"/>
    </xf>
    <xf numFmtId="0" fontId="28" fillId="17" borderId="17" xfId="0" applyFont="1" applyFill="1" applyBorder="1" applyAlignment="1">
      <alignment horizontal="left" vertical="center" wrapText="1"/>
    </xf>
    <xf numFmtId="0" fontId="24" fillId="17" borderId="16" xfId="0" applyFont="1" applyFill="1" applyBorder="1" applyAlignment="1">
      <alignment horizontal="center" vertical="center"/>
    </xf>
    <xf numFmtId="0" fontId="24" fillId="17" borderId="17" xfId="0" applyFont="1" applyFill="1" applyBorder="1" applyAlignment="1">
      <alignment vertical="center" wrapText="1"/>
    </xf>
    <xf numFmtId="0" fontId="28" fillId="17" borderId="16" xfId="0" applyFont="1" applyFill="1" applyBorder="1" applyAlignment="1">
      <alignment horizontal="left" vertical="center" wrapText="1"/>
    </xf>
    <xf numFmtId="0" fontId="28" fillId="17" borderId="17" xfId="0" applyFont="1" applyFill="1" applyBorder="1" applyAlignment="1">
      <alignment horizontal="left" vertical="center"/>
    </xf>
    <xf numFmtId="0" fontId="28" fillId="17" borderId="25" xfId="0" applyFont="1" applyFill="1" applyBorder="1" applyAlignment="1">
      <alignment horizontal="centerContinuous" vertical="center"/>
    </xf>
    <xf numFmtId="0" fontId="30" fillId="17" borderId="16" xfId="0" applyFont="1" applyFill="1" applyBorder="1" applyAlignment="1">
      <alignment horizontal="centerContinuous" vertical="center"/>
    </xf>
    <xf numFmtId="0" fontId="28" fillId="17" borderId="25" xfId="0" applyFont="1" applyFill="1" applyBorder="1" applyAlignment="1">
      <alignment horizontal="center" vertical="center"/>
    </xf>
    <xf numFmtId="0" fontId="30" fillId="18" borderId="16" xfId="0" applyFont="1" applyFill="1" applyBorder="1" applyAlignment="1">
      <alignment horizontal="centerContinuous" vertical="center" wrapText="1"/>
    </xf>
    <xf numFmtId="0" fontId="30" fillId="18" borderId="17" xfId="0" applyFont="1" applyFill="1" applyBorder="1" applyAlignment="1">
      <alignment horizontal="centerContinuous" vertical="center" wrapText="1"/>
    </xf>
    <xf numFmtId="0" fontId="28" fillId="18" borderId="16" xfId="0" applyFont="1" applyFill="1" applyBorder="1" applyAlignment="1">
      <alignment horizontal="centerContinuous" vertical="center"/>
    </xf>
    <xf numFmtId="0" fontId="28" fillId="18" borderId="17" xfId="0" applyFont="1" applyFill="1" applyBorder="1" applyAlignment="1">
      <alignment horizontal="centerContinuous" vertical="center"/>
    </xf>
    <xf numFmtId="0" fontId="28" fillId="18" borderId="17" xfId="0" applyFont="1" applyFill="1" applyBorder="1" applyAlignment="1">
      <alignment horizontal="left" vertical="center"/>
    </xf>
    <xf numFmtId="0" fontId="28" fillId="18" borderId="25" xfId="0" applyFont="1" applyFill="1" applyBorder="1" applyAlignment="1">
      <alignment horizontal="center" vertical="center"/>
    </xf>
    <xf numFmtId="0" fontId="28" fillId="18" borderId="17" xfId="0" applyFont="1" applyFill="1" applyBorder="1" applyAlignment="1">
      <alignment vertical="center" wrapText="1"/>
    </xf>
    <xf numFmtId="0" fontId="28" fillId="18" borderId="16" xfId="0" applyFont="1" applyFill="1" applyBorder="1" applyAlignment="1">
      <alignment horizontal="center" vertical="center"/>
    </xf>
    <xf numFmtId="0" fontId="30" fillId="18" borderId="16" xfId="0" applyFont="1" applyFill="1" applyBorder="1" applyAlignment="1">
      <alignment horizontal="centerContinuous" vertical="center"/>
    </xf>
    <xf numFmtId="0" fontId="30" fillId="18" borderId="34" xfId="0" applyFont="1" applyFill="1" applyBorder="1" applyAlignment="1">
      <alignment horizontal="centerContinuous" vertical="center" wrapText="1"/>
    </xf>
    <xf numFmtId="0" fontId="28" fillId="18" borderId="16" xfId="0" applyFont="1" applyFill="1" applyBorder="1" applyAlignment="1">
      <alignment horizontal="center" vertical="center" wrapText="1"/>
    </xf>
    <xf numFmtId="0" fontId="28" fillId="18" borderId="17" xfId="0" applyFont="1" applyFill="1" applyBorder="1" applyAlignment="1">
      <alignment horizontal="left" vertical="center" wrapText="1"/>
    </xf>
    <xf numFmtId="0" fontId="28" fillId="18" borderId="25" xfId="0" applyFont="1" applyFill="1" applyBorder="1" applyAlignment="1">
      <alignment horizontal="left" vertical="center"/>
    </xf>
    <xf numFmtId="0" fontId="28" fillId="18" borderId="31" xfId="0" applyFont="1" applyFill="1" applyBorder="1" applyAlignment="1">
      <alignment horizontal="center" vertical="center"/>
    </xf>
    <xf numFmtId="0" fontId="28" fillId="18" borderId="27" xfId="0" applyFont="1" applyFill="1" applyBorder="1" applyAlignment="1">
      <alignment horizontal="left" vertical="center"/>
    </xf>
    <xf numFmtId="0" fontId="34" fillId="2" borderId="2" xfId="0" applyFont="1" applyFill="1" applyBorder="1" applyAlignment="1">
      <alignment horizontal="center" vertical="center" wrapText="1"/>
    </xf>
    <xf numFmtId="0" fontId="34" fillId="2" borderId="2"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34" fillId="2" borderId="2" xfId="0" applyFont="1" applyFill="1" applyBorder="1" applyAlignment="1">
      <alignment horizontal="centerContinuous" vertical="center" wrapText="1"/>
    </xf>
    <xf numFmtId="0" fontId="34" fillId="2" borderId="1" xfId="0" applyFont="1" applyFill="1" applyBorder="1" applyAlignment="1">
      <alignment horizontal="center" vertical="center" wrapText="1"/>
    </xf>
    <xf numFmtId="0" fontId="34" fillId="2" borderId="3" xfId="0" applyFont="1" applyFill="1" applyBorder="1" applyAlignment="1">
      <alignment horizontal="left" vertical="center" wrapText="1"/>
    </xf>
    <xf numFmtId="0" fontId="34" fillId="2" borderId="6" xfId="0" applyFont="1" applyFill="1" applyBorder="1" applyAlignment="1">
      <alignment horizontal="left" vertical="center" wrapText="1"/>
    </xf>
    <xf numFmtId="0" fontId="28" fillId="19" borderId="16" xfId="0" applyFont="1" applyFill="1" applyBorder="1" applyAlignment="1">
      <alignment vertical="center" wrapText="1"/>
    </xf>
    <xf numFmtId="0" fontId="7" fillId="19" borderId="16" xfId="0" applyFont="1" applyFill="1" applyBorder="1" applyAlignment="1">
      <alignment vertical="center" wrapText="1"/>
    </xf>
    <xf numFmtId="0" fontId="5" fillId="19" borderId="16" xfId="0" applyFont="1" applyFill="1" applyBorder="1" applyAlignment="1">
      <alignment vertical="center" wrapText="1"/>
    </xf>
    <xf numFmtId="0" fontId="8" fillId="19" borderId="16" xfId="0" applyFont="1" applyFill="1" applyBorder="1" applyAlignment="1">
      <alignment vertical="center" wrapText="1"/>
    </xf>
    <xf numFmtId="0" fontId="3" fillId="19" borderId="33" xfId="0" applyFont="1" applyFill="1" applyBorder="1" applyAlignment="1">
      <alignment horizontal="center" vertical="center"/>
    </xf>
    <xf numFmtId="0" fontId="28" fillId="19" borderId="16" xfId="0" applyFont="1" applyFill="1" applyBorder="1" applyAlignment="1">
      <alignment horizontal="left" vertical="center" wrapText="1"/>
    </xf>
    <xf numFmtId="0" fontId="28" fillId="19" borderId="25" xfId="0" applyFont="1" applyFill="1" applyBorder="1" applyAlignment="1">
      <alignment horizontal="left" vertical="center"/>
    </xf>
    <xf numFmtId="3" fontId="34" fillId="2" borderId="3" xfId="0" applyNumberFormat="1" applyFont="1" applyFill="1" applyBorder="1" applyAlignment="1">
      <alignment horizontal="center" vertical="center" wrapText="1"/>
    </xf>
    <xf numFmtId="3" fontId="35" fillId="2" borderId="6" xfId="0" applyNumberFormat="1" applyFont="1" applyFill="1" applyBorder="1" applyAlignment="1">
      <alignment horizontal="centerContinuous" vertical="center" wrapText="1"/>
    </xf>
    <xf numFmtId="0" fontId="35" fillId="2" borderId="1" xfId="0" applyFont="1" applyFill="1" applyBorder="1" applyAlignment="1">
      <alignment horizontal="centerContinuous" vertical="center" wrapText="1"/>
    </xf>
    <xf numFmtId="3" fontId="34" fillId="2" borderId="2" xfId="0" applyNumberFormat="1" applyFont="1" applyFill="1" applyBorder="1" applyAlignment="1">
      <alignment horizontal="centerContinuous" vertical="center" wrapText="1"/>
    </xf>
    <xf numFmtId="3" fontId="35" fillId="2" borderId="2" xfId="0" applyNumberFormat="1" applyFont="1" applyFill="1" applyBorder="1" applyAlignment="1">
      <alignment horizontal="centerContinuous" vertical="center" wrapText="1"/>
    </xf>
    <xf numFmtId="3" fontId="34" fillId="2" borderId="5" xfId="0" applyNumberFormat="1" applyFont="1" applyFill="1" applyBorder="1" applyAlignment="1">
      <alignment vertical="center" wrapText="1"/>
    </xf>
    <xf numFmtId="0" fontId="35" fillId="2" borderId="1" xfId="0" applyFont="1" applyFill="1" applyBorder="1" applyAlignment="1">
      <alignment horizontal="left" vertical="center" wrapText="1"/>
    </xf>
    <xf numFmtId="0" fontId="28" fillId="2" borderId="16" xfId="3" applyFont="1" applyFill="1" applyBorder="1" applyAlignment="1">
      <alignment horizontal="left" vertical="center" wrapText="1"/>
    </xf>
    <xf numFmtId="0" fontId="34" fillId="2" borderId="16" xfId="3" applyFont="1" applyFill="1" applyBorder="1" applyAlignment="1">
      <alignment horizontal="left" vertical="center" wrapText="1"/>
    </xf>
    <xf numFmtId="3" fontId="34" fillId="2" borderId="5"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3" fontId="28" fillId="2" borderId="2" xfId="0" applyNumberFormat="1" applyFont="1" applyFill="1" applyBorder="1" applyAlignment="1">
      <alignment horizontal="center" vertical="center" wrapText="1"/>
    </xf>
    <xf numFmtId="3" fontId="28" fillId="2" borderId="3" xfId="0" applyNumberFormat="1" applyFont="1" applyFill="1" applyBorder="1" applyAlignment="1">
      <alignment horizontal="center" vertical="center" wrapText="1"/>
    </xf>
    <xf numFmtId="3" fontId="28" fillId="2" borderId="6" xfId="0" applyNumberFormat="1" applyFont="1" applyFill="1" applyBorder="1" applyAlignment="1">
      <alignment horizontal="center" vertical="center" wrapText="1"/>
    </xf>
    <xf numFmtId="0" fontId="34" fillId="2" borderId="2" xfId="0" applyFont="1" applyFill="1" applyBorder="1" applyAlignment="1">
      <alignment vertical="center" wrapText="1"/>
    </xf>
    <xf numFmtId="0" fontId="34" fillId="2" borderId="6" xfId="0" applyFont="1" applyFill="1" applyBorder="1" applyAlignment="1">
      <alignment vertical="center" wrapText="1"/>
    </xf>
    <xf numFmtId="0" fontId="35" fillId="5" borderId="3" xfId="0" applyFont="1" applyFill="1" applyBorder="1" applyAlignment="1">
      <alignment horizontal="centerContinuous" vertical="center" wrapText="1"/>
    </xf>
    <xf numFmtId="0" fontId="35" fillId="5" borderId="1" xfId="0" applyFont="1" applyFill="1" applyBorder="1" applyAlignment="1">
      <alignment horizontal="centerContinuous" vertical="center" wrapText="1"/>
    </xf>
    <xf numFmtId="0" fontId="34" fillId="5" borderId="1" xfId="0" applyFont="1" applyFill="1" applyBorder="1" applyAlignment="1">
      <alignment horizontal="left" vertical="center" wrapText="1"/>
    </xf>
    <xf numFmtId="0" fontId="34" fillId="5" borderId="1" xfId="0" applyFont="1" applyFill="1" applyBorder="1" applyAlignment="1">
      <alignment horizontal="centerContinuous" vertical="center" wrapText="1"/>
    </xf>
    <xf numFmtId="0" fontId="34" fillId="5" borderId="2" xfId="0" applyFont="1" applyFill="1" applyBorder="1" applyAlignment="1">
      <alignment horizontal="center" vertical="center" wrapText="1"/>
    </xf>
    <xf numFmtId="0" fontId="34" fillId="5" borderId="3" xfId="0" applyFont="1" applyFill="1" applyBorder="1" applyAlignment="1">
      <alignment horizontal="center" vertical="center" wrapText="1"/>
    </xf>
    <xf numFmtId="0" fontId="34" fillId="5" borderId="2" xfId="0" applyFont="1" applyFill="1" applyBorder="1" applyAlignment="1">
      <alignment horizontal="left" vertical="center" wrapText="1"/>
    </xf>
    <xf numFmtId="0" fontId="30" fillId="15" borderId="16" xfId="0" applyFont="1" applyFill="1" applyBorder="1" applyAlignment="1">
      <alignment horizontal="centerContinuous" vertical="center"/>
    </xf>
    <xf numFmtId="0" fontId="28" fillId="15" borderId="16" xfId="0" applyFont="1" applyFill="1" applyBorder="1" applyAlignment="1">
      <alignment horizontal="left" vertical="center"/>
    </xf>
    <xf numFmtId="0" fontId="28" fillId="15" borderId="16" xfId="0" applyFont="1" applyFill="1" applyBorder="1" applyAlignment="1">
      <alignment horizontal="centerContinuous" vertical="center"/>
    </xf>
    <xf numFmtId="0" fontId="28" fillId="15" borderId="16" xfId="0" applyFont="1" applyFill="1" applyBorder="1" applyAlignment="1">
      <alignment horizontal="left" vertical="center" wrapText="1"/>
    </xf>
    <xf numFmtId="0" fontId="28" fillId="16" borderId="16" xfId="0" applyFont="1" applyFill="1" applyBorder="1" applyAlignment="1">
      <alignment horizontal="center" vertical="center" wrapText="1"/>
    </xf>
    <xf numFmtId="0" fontId="28" fillId="16" borderId="16" xfId="0" applyFont="1" applyFill="1" applyBorder="1" applyAlignment="1">
      <alignment horizontal="left" vertical="center" wrapText="1"/>
    </xf>
    <xf numFmtId="0" fontId="28" fillId="16" borderId="16" xfId="0" applyFont="1" applyFill="1" applyBorder="1" applyAlignment="1">
      <alignment horizontal="centerContinuous" vertical="center" wrapText="1"/>
    </xf>
    <xf numFmtId="0" fontId="28" fillId="17" borderId="16" xfId="0" applyFont="1" applyFill="1" applyBorder="1" applyAlignment="1">
      <alignment horizontal="centerContinuous" vertical="center" wrapText="1"/>
    </xf>
    <xf numFmtId="0" fontId="35" fillId="3" borderId="4" xfId="0" applyFont="1" applyFill="1" applyBorder="1" applyAlignment="1">
      <alignment horizontal="centerContinuous" vertical="center" wrapText="1"/>
    </xf>
    <xf numFmtId="0" fontId="35" fillId="3" borderId="7" xfId="0" applyFont="1" applyFill="1" applyBorder="1" applyAlignment="1">
      <alignment horizontal="centerContinuous" vertical="center" wrapText="1"/>
    </xf>
    <xf numFmtId="0" fontId="34" fillId="3" borderId="1" xfId="0" applyFont="1" applyFill="1" applyBorder="1" applyAlignment="1">
      <alignment horizontal="center" vertical="center" wrapText="1"/>
    </xf>
    <xf numFmtId="0" fontId="34" fillId="3" borderId="1" xfId="0" applyFont="1" applyFill="1" applyBorder="1" applyAlignment="1">
      <alignment horizontal="left" vertical="center" wrapText="1"/>
    </xf>
    <xf numFmtId="0" fontId="35" fillId="3" borderId="1" xfId="0" applyFont="1" applyFill="1" applyBorder="1" applyAlignment="1">
      <alignment horizontal="centerContinuous" vertical="center" wrapText="1"/>
    </xf>
    <xf numFmtId="3" fontId="34" fillId="5" borderId="33" xfId="3" applyNumberFormat="1" applyFont="1" applyFill="1" applyBorder="1" applyAlignment="1">
      <alignment horizontal="centerContinuous" vertical="center" wrapText="1"/>
    </xf>
    <xf numFmtId="0" fontId="35" fillId="5" borderId="33" xfId="3" applyFont="1" applyFill="1" applyBorder="1" applyAlignment="1">
      <alignment horizontal="centerContinuous" vertical="center" wrapText="1"/>
    </xf>
    <xf numFmtId="3" fontId="34" fillId="5" borderId="25" xfId="3" applyNumberFormat="1" applyFont="1" applyFill="1" applyBorder="1" applyAlignment="1">
      <alignment horizontal="centerContinuous" vertical="center" wrapText="1"/>
    </xf>
    <xf numFmtId="0" fontId="35" fillId="5" borderId="16" xfId="3" applyFont="1" applyFill="1" applyBorder="1" applyAlignment="1">
      <alignment horizontal="left" vertical="center" wrapText="1"/>
    </xf>
    <xf numFmtId="3" fontId="34" fillId="5" borderId="32" xfId="3" applyNumberFormat="1" applyFont="1" applyFill="1" applyBorder="1" applyAlignment="1">
      <alignment horizontal="center" vertical="center" wrapText="1"/>
    </xf>
    <xf numFmtId="0" fontId="34" fillId="5" borderId="16" xfId="3" applyFont="1" applyFill="1" applyBorder="1" applyAlignment="1">
      <alignment horizontal="left" vertical="center" wrapText="1"/>
    </xf>
    <xf numFmtId="3" fontId="34" fillId="5" borderId="31" xfId="3" applyNumberFormat="1" applyFont="1" applyFill="1" applyBorder="1" applyAlignment="1">
      <alignment horizontal="center" vertical="center" wrapText="1"/>
    </xf>
    <xf numFmtId="0" fontId="35" fillId="5" borderId="25" xfId="3" applyFont="1" applyFill="1" applyBorder="1" applyAlignment="1">
      <alignment horizontal="left" vertical="center" wrapText="1"/>
    </xf>
    <xf numFmtId="3" fontId="34" fillId="5" borderId="33" xfId="3" applyNumberFormat="1" applyFont="1" applyFill="1" applyBorder="1" applyAlignment="1">
      <alignment horizontal="center" vertical="center" wrapText="1"/>
    </xf>
    <xf numFmtId="0" fontId="34" fillId="5" borderId="31" xfId="3" applyFont="1" applyFill="1" applyBorder="1" applyAlignment="1">
      <alignment horizontal="left" vertical="center" wrapText="1"/>
    </xf>
    <xf numFmtId="3" fontId="0" fillId="0" borderId="0" xfId="0" applyNumberFormat="1" applyAlignment="1" applyProtection="1">
      <alignment horizontal="center" vertical="center"/>
      <protection hidden="1"/>
    </xf>
    <xf numFmtId="0" fontId="0" fillId="0" borderId="0" xfId="0" applyAlignment="1" applyProtection="1">
      <alignment horizontal="left" vertical="center"/>
      <protection hidden="1"/>
    </xf>
    <xf numFmtId="0" fontId="10" fillId="0" borderId="0" xfId="0" applyFont="1" applyAlignment="1" applyProtection="1">
      <alignment horizontal="center" vertical="center"/>
      <protection hidden="1"/>
    </xf>
    <xf numFmtId="0" fontId="0" fillId="35" borderId="27" xfId="0" applyFill="1" applyBorder="1" applyProtection="1">
      <protection hidden="1"/>
    </xf>
    <xf numFmtId="0" fontId="49" fillId="35" borderId="26" xfId="0" applyFont="1" applyFill="1" applyBorder="1" applyAlignment="1" applyProtection="1">
      <alignment horizontal="left" vertical="center"/>
      <protection hidden="1"/>
    </xf>
    <xf numFmtId="0" fontId="49" fillId="35" borderId="28" xfId="0" applyFont="1" applyFill="1" applyBorder="1" applyAlignment="1" applyProtection="1">
      <alignment horizontal="left" vertical="center"/>
      <protection hidden="1"/>
    </xf>
    <xf numFmtId="3" fontId="0" fillId="35" borderId="27" xfId="0" applyNumberFormat="1" applyFill="1" applyBorder="1" applyAlignment="1" applyProtection="1">
      <alignment horizontal="center" vertical="center"/>
      <protection hidden="1"/>
    </xf>
    <xf numFmtId="0" fontId="0" fillId="35" borderId="26" xfId="0" applyFill="1" applyBorder="1" applyAlignment="1" applyProtection="1">
      <alignment horizontal="center" vertical="center"/>
      <protection hidden="1"/>
    </xf>
    <xf numFmtId="0" fontId="10" fillId="35" borderId="28" xfId="0" applyFont="1" applyFill="1" applyBorder="1" applyAlignment="1" applyProtection="1">
      <alignment horizontal="center" vertical="center"/>
      <protection hidden="1"/>
    </xf>
    <xf numFmtId="0" fontId="0" fillId="35" borderId="36" xfId="0" applyFill="1" applyBorder="1" applyProtection="1">
      <protection hidden="1"/>
    </xf>
    <xf numFmtId="0" fontId="49" fillId="35" borderId="0" xfId="0" applyFont="1" applyFill="1" applyAlignment="1" applyProtection="1">
      <alignment horizontal="left" vertical="center"/>
      <protection hidden="1"/>
    </xf>
    <xf numFmtId="0" fontId="49" fillId="35" borderId="29" xfId="0" applyFont="1" applyFill="1" applyBorder="1" applyAlignment="1" applyProtection="1">
      <alignment horizontal="left" vertical="center"/>
      <protection hidden="1"/>
    </xf>
    <xf numFmtId="3" fontId="0" fillId="35" borderId="36" xfId="0" applyNumberFormat="1" applyFill="1" applyBorder="1" applyAlignment="1" applyProtection="1">
      <alignment horizontal="center" vertical="center"/>
      <protection hidden="1"/>
    </xf>
    <xf numFmtId="0" fontId="0" fillId="35" borderId="0" xfId="0" applyFill="1" applyAlignment="1" applyProtection="1">
      <alignment horizontal="center" vertical="center"/>
      <protection hidden="1"/>
    </xf>
    <xf numFmtId="0" fontId="10" fillId="35" borderId="29" xfId="0" applyFont="1" applyFill="1" applyBorder="1" applyAlignment="1" applyProtection="1">
      <alignment horizontal="center" vertical="center"/>
      <protection hidden="1"/>
    </xf>
    <xf numFmtId="0" fontId="0" fillId="35" borderId="34" xfId="0" applyFill="1" applyBorder="1" applyProtection="1">
      <protection hidden="1"/>
    </xf>
    <xf numFmtId="0" fontId="49" fillId="35" borderId="35" xfId="0" applyFont="1" applyFill="1" applyBorder="1" applyAlignment="1" applyProtection="1">
      <alignment horizontal="left" vertical="center"/>
      <protection hidden="1"/>
    </xf>
    <xf numFmtId="0" fontId="49" fillId="35" borderId="30" xfId="0" applyFont="1" applyFill="1" applyBorder="1" applyAlignment="1" applyProtection="1">
      <alignment horizontal="left" vertical="center"/>
      <protection hidden="1"/>
    </xf>
    <xf numFmtId="3" fontId="0" fillId="35" borderId="34" xfId="0" applyNumberFormat="1" applyFill="1" applyBorder="1" applyAlignment="1" applyProtection="1">
      <alignment horizontal="center" vertical="center"/>
      <protection hidden="1"/>
    </xf>
    <xf numFmtId="0" fontId="0" fillId="35" borderId="35" xfId="0" applyFill="1" applyBorder="1" applyAlignment="1" applyProtection="1">
      <alignment horizontal="center" vertical="center"/>
      <protection hidden="1"/>
    </xf>
    <xf numFmtId="0" fontId="10" fillId="35" borderId="30" xfId="0" applyFont="1" applyFill="1" applyBorder="1" applyAlignment="1" applyProtection="1">
      <alignment horizontal="center" vertical="center"/>
      <protection hidden="1"/>
    </xf>
    <xf numFmtId="0" fontId="10" fillId="35" borderId="0" xfId="0" applyFont="1" applyFill="1" applyAlignment="1" applyProtection="1">
      <alignment horizontal="left" vertical="center"/>
      <protection hidden="1"/>
    </xf>
    <xf numFmtId="0" fontId="10" fillId="35" borderId="29" xfId="0" applyFont="1" applyFill="1" applyBorder="1" applyAlignment="1" applyProtection="1">
      <alignment horizontal="left" vertical="center"/>
      <protection hidden="1"/>
    </xf>
    <xf numFmtId="0" fontId="10" fillId="35" borderId="35" xfId="0" applyFont="1" applyFill="1" applyBorder="1" applyAlignment="1" applyProtection="1">
      <alignment horizontal="left" vertical="center"/>
      <protection hidden="1"/>
    </xf>
    <xf numFmtId="0" fontId="10" fillId="35" borderId="30" xfId="0" applyFont="1" applyFill="1" applyBorder="1" applyAlignment="1" applyProtection="1">
      <alignment horizontal="left" vertical="center"/>
      <protection hidden="1"/>
    </xf>
    <xf numFmtId="0" fontId="11" fillId="9" borderId="12" xfId="0" applyFont="1" applyFill="1" applyBorder="1" applyAlignment="1" applyProtection="1">
      <alignment vertical="center"/>
      <protection hidden="1"/>
    </xf>
    <xf numFmtId="0" fontId="34" fillId="0" borderId="16" xfId="0" applyFont="1" applyBorder="1" applyAlignment="1" applyProtection="1">
      <alignment horizontal="center" vertical="center" wrapText="1"/>
      <protection hidden="1"/>
    </xf>
    <xf numFmtId="3" fontId="34" fillId="0" borderId="1" xfId="0" applyNumberFormat="1" applyFont="1" applyBorder="1" applyAlignment="1" applyProtection="1">
      <alignment horizontal="center" vertical="center" wrapText="1"/>
      <protection hidden="1"/>
    </xf>
    <xf numFmtId="0" fontId="34" fillId="0" borderId="0" xfId="0" applyFont="1" applyAlignment="1" applyProtection="1">
      <alignment horizontal="center" vertical="center" wrapText="1"/>
      <protection hidden="1"/>
    </xf>
    <xf numFmtId="3" fontId="34" fillId="0" borderId="55" xfId="0" applyNumberFormat="1" applyFont="1" applyBorder="1" applyAlignment="1" applyProtection="1">
      <alignment horizontal="center" vertical="center" wrapText="1"/>
      <protection hidden="1"/>
    </xf>
    <xf numFmtId="0" fontId="30" fillId="0" borderId="27" xfId="0" applyFont="1" applyBorder="1" applyAlignment="1" applyProtection="1">
      <alignment horizontal="center" vertical="center" wrapText="1"/>
      <protection hidden="1"/>
    </xf>
    <xf numFmtId="0" fontId="30" fillId="0" borderId="36" xfId="0" applyFont="1" applyBorder="1" applyAlignment="1" applyProtection="1">
      <alignment horizontal="center" vertical="center" wrapText="1"/>
      <protection hidden="1"/>
    </xf>
    <xf numFmtId="0" fontId="28" fillId="0" borderId="34" xfId="0" applyFont="1" applyBorder="1" applyAlignment="1" applyProtection="1">
      <alignment horizontal="center" vertical="center"/>
      <protection hidden="1"/>
    </xf>
    <xf numFmtId="3" fontId="34" fillId="4" borderId="55" xfId="0" applyNumberFormat="1" applyFont="1" applyFill="1" applyBorder="1" applyAlignment="1" applyProtection="1">
      <alignment horizontal="center" vertical="center" wrapText="1"/>
      <protection hidden="1"/>
    </xf>
    <xf numFmtId="0" fontId="28" fillId="0" borderId="16" xfId="0" applyFont="1" applyBorder="1" applyAlignment="1" applyProtection="1">
      <alignment horizontal="center" vertical="center"/>
      <protection hidden="1"/>
    </xf>
    <xf numFmtId="0" fontId="28" fillId="0" borderId="17" xfId="0" applyFont="1" applyBorder="1" applyAlignment="1" applyProtection="1">
      <alignment horizontal="center" vertical="center"/>
      <protection hidden="1"/>
    </xf>
    <xf numFmtId="0" fontId="28" fillId="0" borderId="56" xfId="0" applyFont="1" applyBorder="1" applyAlignment="1" applyProtection="1">
      <alignment horizontal="center" vertical="center"/>
      <protection hidden="1"/>
    </xf>
    <xf numFmtId="0" fontId="28" fillId="0" borderId="27" xfId="0" applyFont="1" applyBorder="1" applyAlignment="1" applyProtection="1">
      <alignment horizontal="center" vertical="center"/>
      <protection hidden="1"/>
    </xf>
    <xf numFmtId="0" fontId="28" fillId="34" borderId="16" xfId="0" applyFont="1" applyFill="1" applyBorder="1" applyAlignment="1" applyProtection="1">
      <alignment horizontal="center" vertical="center"/>
      <protection hidden="1"/>
    </xf>
    <xf numFmtId="0" fontId="35" fillId="0" borderId="0" xfId="0" applyFont="1" applyAlignment="1" applyProtection="1">
      <alignment horizontal="center" vertical="center" wrapText="1"/>
      <protection hidden="1"/>
    </xf>
    <xf numFmtId="3" fontId="34" fillId="0" borderId="8" xfId="0" applyNumberFormat="1" applyFont="1" applyBorder="1" applyAlignment="1" applyProtection="1">
      <alignment horizontal="center" vertical="center"/>
      <protection hidden="1"/>
    </xf>
    <xf numFmtId="0" fontId="34" fillId="0" borderId="31" xfId="0" applyFont="1" applyBorder="1" applyAlignment="1" applyProtection="1">
      <alignment horizontal="center" vertical="center" wrapText="1"/>
      <protection hidden="1"/>
    </xf>
    <xf numFmtId="0" fontId="28" fillId="0" borderId="55" xfId="0" applyFont="1" applyBorder="1" applyAlignment="1" applyProtection="1">
      <alignment horizontal="center" vertical="center"/>
      <protection hidden="1"/>
    </xf>
    <xf numFmtId="0" fontId="28" fillId="0" borderId="33" xfId="0" applyFont="1" applyBorder="1" applyAlignment="1" applyProtection="1">
      <alignment horizontal="center" vertical="center"/>
      <protection hidden="1"/>
    </xf>
    <xf numFmtId="164" fontId="34" fillId="0" borderId="16" xfId="0" applyNumberFormat="1" applyFont="1" applyBorder="1" applyAlignment="1" applyProtection="1">
      <alignment horizontal="center" vertical="center" wrapText="1"/>
      <protection hidden="1"/>
    </xf>
    <xf numFmtId="164" fontId="34" fillId="0" borderId="0" xfId="0" applyNumberFormat="1" applyFont="1" applyAlignment="1" applyProtection="1">
      <alignment horizontal="center" vertical="center" wrapText="1"/>
      <protection hidden="1"/>
    </xf>
    <xf numFmtId="0" fontId="28" fillId="43" borderId="16" xfId="0" applyFont="1" applyFill="1" applyBorder="1" applyAlignment="1" applyProtection="1">
      <alignment horizontal="center" vertical="center"/>
      <protection hidden="1"/>
    </xf>
    <xf numFmtId="0" fontId="30" fillId="0" borderId="55" xfId="0" applyFont="1" applyBorder="1" applyAlignment="1" applyProtection="1">
      <alignment horizontal="center" vertical="center"/>
      <protection hidden="1"/>
    </xf>
    <xf numFmtId="0" fontId="30" fillId="0" borderId="36" xfId="0" applyFont="1" applyBorder="1" applyAlignment="1" applyProtection="1">
      <alignment horizontal="center" vertical="center"/>
      <protection hidden="1"/>
    </xf>
    <xf numFmtId="10" fontId="28" fillId="43" borderId="16" xfId="0" applyNumberFormat="1" applyFont="1" applyFill="1" applyBorder="1" applyAlignment="1" applyProtection="1">
      <alignment horizontal="center" vertical="center" wrapText="1"/>
      <protection hidden="1"/>
    </xf>
    <xf numFmtId="0" fontId="28" fillId="34" borderId="55" xfId="0" applyFont="1" applyFill="1" applyBorder="1" applyAlignment="1" applyProtection="1">
      <alignment horizontal="center" vertical="center"/>
      <protection hidden="1"/>
    </xf>
    <xf numFmtId="0" fontId="28" fillId="34" borderId="17" xfId="0" applyFont="1" applyFill="1" applyBorder="1" applyAlignment="1" applyProtection="1">
      <alignment horizontal="center" vertical="center"/>
      <protection hidden="1"/>
    </xf>
    <xf numFmtId="0" fontId="28" fillId="34" borderId="16" xfId="0" applyFont="1" applyFill="1" applyBorder="1" applyAlignment="1" applyProtection="1">
      <alignment horizontal="center" vertical="center" wrapText="1"/>
      <protection hidden="1"/>
    </xf>
    <xf numFmtId="3" fontId="34" fillId="0" borderId="2" xfId="0" applyNumberFormat="1" applyFont="1" applyBorder="1" applyAlignment="1" applyProtection="1">
      <alignment horizontal="center" vertical="center" wrapText="1"/>
      <protection hidden="1"/>
    </xf>
    <xf numFmtId="0" fontId="28" fillId="0" borderId="16" xfId="0" applyFont="1" applyBorder="1" applyAlignment="1" applyProtection="1">
      <alignment horizontal="center" vertical="center" wrapText="1"/>
      <protection hidden="1"/>
    </xf>
    <xf numFmtId="0" fontId="28" fillId="0" borderId="17" xfId="0" applyFont="1" applyBorder="1" applyAlignment="1" applyProtection="1">
      <alignment horizontal="center" vertical="center" wrapText="1"/>
      <protection hidden="1"/>
    </xf>
    <xf numFmtId="0" fontId="28" fillId="38" borderId="17" xfId="0" applyFont="1" applyFill="1" applyBorder="1" applyAlignment="1" applyProtection="1">
      <alignment horizontal="center" vertical="center" wrapText="1"/>
      <protection hidden="1"/>
    </xf>
    <xf numFmtId="0" fontId="34" fillId="0" borderId="62" xfId="0" applyFont="1" applyBorder="1" applyAlignment="1" applyProtection="1">
      <alignment horizontal="center" vertical="center"/>
      <protection hidden="1"/>
    </xf>
    <xf numFmtId="0" fontId="34" fillId="0" borderId="57" xfId="0" applyFont="1" applyBorder="1" applyAlignment="1" applyProtection="1">
      <alignment horizontal="center" vertical="center"/>
      <protection hidden="1"/>
    </xf>
    <xf numFmtId="0" fontId="34" fillId="0" borderId="8" xfId="0" applyFont="1" applyBorder="1" applyAlignment="1" applyProtection="1">
      <alignment horizontal="center" vertical="center" wrapText="1"/>
      <protection hidden="1"/>
    </xf>
    <xf numFmtId="0" fontId="34" fillId="0" borderId="16" xfId="0" applyFont="1" applyBorder="1" applyAlignment="1" applyProtection="1">
      <alignment horizontal="center" vertical="center"/>
      <protection hidden="1"/>
    </xf>
    <xf numFmtId="0" fontId="34" fillId="0" borderId="1" xfId="0" applyFont="1" applyBorder="1" applyAlignment="1" applyProtection="1">
      <alignment horizontal="center" vertical="center" wrapText="1"/>
      <protection hidden="1"/>
    </xf>
    <xf numFmtId="0" fontId="34" fillId="0" borderId="16" xfId="3" applyFont="1" applyBorder="1" applyAlignment="1" applyProtection="1">
      <alignment horizontal="center" vertical="center" wrapText="1"/>
      <protection hidden="1"/>
    </xf>
    <xf numFmtId="3" fontId="34" fillId="0" borderId="2" xfId="0" applyNumberFormat="1" applyFont="1" applyBorder="1" applyAlignment="1" applyProtection="1">
      <alignment horizontal="center" vertical="center"/>
      <protection hidden="1"/>
    </xf>
    <xf numFmtId="3" fontId="34" fillId="0" borderId="3" xfId="0" applyNumberFormat="1" applyFont="1" applyBorder="1" applyAlignment="1" applyProtection="1">
      <alignment horizontal="center" vertical="center"/>
      <protection hidden="1"/>
    </xf>
    <xf numFmtId="0" fontId="34" fillId="0" borderId="16" xfId="0" quotePrefix="1" applyFont="1" applyBorder="1" applyAlignment="1" applyProtection="1">
      <alignment horizontal="center" vertical="center"/>
      <protection hidden="1"/>
    </xf>
    <xf numFmtId="0" fontId="28" fillId="0" borderId="16" xfId="0" quotePrefix="1" applyFont="1" applyBorder="1" applyAlignment="1" applyProtection="1">
      <alignment horizontal="center" vertical="center" wrapText="1"/>
      <protection hidden="1"/>
    </xf>
    <xf numFmtId="0" fontId="28" fillId="37" borderId="16" xfId="0" applyFont="1" applyFill="1" applyBorder="1" applyAlignment="1" applyProtection="1">
      <alignment horizontal="center" vertical="center"/>
      <protection hidden="1"/>
    </xf>
    <xf numFmtId="3" fontId="34" fillId="0" borderId="8" xfId="0" applyNumberFormat="1" applyFont="1" applyBorder="1" applyAlignment="1" applyProtection="1">
      <alignment horizontal="center" vertical="center" wrapText="1"/>
      <protection hidden="1"/>
    </xf>
    <xf numFmtId="0" fontId="28" fillId="0" borderId="16" xfId="0" quotePrefix="1" applyFont="1" applyBorder="1" applyAlignment="1" applyProtection="1">
      <alignment horizontal="center" vertical="center"/>
      <protection hidden="1"/>
    </xf>
    <xf numFmtId="0" fontId="28" fillId="0" borderId="17" xfId="0" quotePrefix="1" applyFont="1" applyBorder="1" applyAlignment="1" applyProtection="1">
      <alignment horizontal="center" vertical="center"/>
      <protection hidden="1"/>
    </xf>
    <xf numFmtId="0" fontId="28" fillId="0" borderId="18" xfId="0" applyFont="1" applyBorder="1" applyAlignment="1" applyProtection="1">
      <alignment horizontal="center" vertical="center"/>
      <protection hidden="1"/>
    </xf>
    <xf numFmtId="0" fontId="34" fillId="0" borderId="8" xfId="0" applyFont="1" applyBorder="1" applyAlignment="1" applyProtection="1">
      <alignment horizontal="center" vertical="center"/>
      <protection hidden="1"/>
    </xf>
    <xf numFmtId="0" fontId="32" fillId="0" borderId="8" xfId="0" applyFont="1" applyBorder="1" applyAlignment="1" applyProtection="1">
      <alignment horizontal="left" vertical="center" wrapText="1"/>
      <protection hidden="1"/>
    </xf>
    <xf numFmtId="0" fontId="28" fillId="38" borderId="17" xfId="0" applyFont="1" applyFill="1" applyBorder="1" applyAlignment="1" applyProtection="1">
      <alignment horizontal="center" vertical="center"/>
      <protection hidden="1"/>
    </xf>
    <xf numFmtId="0" fontId="28" fillId="0" borderId="8" xfId="0" applyFont="1" applyBorder="1" applyAlignment="1" applyProtection="1">
      <alignment horizontal="center" vertical="center" wrapText="1"/>
      <protection hidden="1"/>
    </xf>
    <xf numFmtId="0" fontId="28" fillId="0" borderId="0" xfId="0" applyFont="1" applyAlignment="1" applyProtection="1">
      <alignment horizontal="center" vertical="center" wrapText="1"/>
      <protection hidden="1"/>
    </xf>
    <xf numFmtId="0" fontId="28" fillId="39" borderId="16" xfId="0" applyFont="1" applyFill="1" applyBorder="1" applyAlignment="1" applyProtection="1">
      <alignment horizontal="center" vertical="center"/>
      <protection hidden="1"/>
    </xf>
    <xf numFmtId="3" fontId="28" fillId="0" borderId="55" xfId="0" applyNumberFormat="1" applyFont="1" applyBorder="1" applyAlignment="1" applyProtection="1">
      <alignment horizontal="center" vertical="center" wrapText="1"/>
      <protection hidden="1"/>
    </xf>
    <xf numFmtId="3" fontId="28" fillId="4" borderId="55" xfId="0" applyNumberFormat="1" applyFont="1" applyFill="1" applyBorder="1" applyAlignment="1" applyProtection="1">
      <alignment horizontal="center" vertical="center" wrapText="1"/>
      <protection hidden="1"/>
    </xf>
    <xf numFmtId="0" fontId="0" fillId="0" borderId="8" xfId="0" applyBorder="1" applyAlignment="1" applyProtection="1">
      <alignment horizontal="center" vertical="center"/>
      <protection hidden="1"/>
    </xf>
    <xf numFmtId="0" fontId="30" fillId="0" borderId="34" xfId="0" applyFont="1" applyBorder="1" applyAlignment="1" applyProtection="1">
      <alignment horizontal="center" vertical="center" wrapText="1"/>
      <protection hidden="1"/>
    </xf>
    <xf numFmtId="3" fontId="8" fillId="4" borderId="55" xfId="0" applyNumberFormat="1" applyFont="1" applyFill="1" applyBorder="1" applyAlignment="1" applyProtection="1">
      <alignment horizontal="center" vertical="center" wrapText="1"/>
      <protection hidden="1"/>
    </xf>
    <xf numFmtId="0" fontId="8" fillId="0" borderId="16" xfId="0" applyFont="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3" fontId="8" fillId="0" borderId="55" xfId="0" applyNumberFormat="1" applyFont="1" applyBorder="1" applyAlignment="1" applyProtection="1">
      <alignment horizontal="center" vertical="center" wrapText="1"/>
      <protection hidden="1"/>
    </xf>
    <xf numFmtId="0" fontId="8" fillId="0" borderId="17" xfId="0" applyFont="1" applyBorder="1" applyAlignment="1" applyProtection="1">
      <alignment horizontal="center" vertical="center"/>
      <protection hidden="1"/>
    </xf>
    <xf numFmtId="0" fontId="34" fillId="0" borderId="0" xfId="0" applyFont="1" applyAlignment="1" applyProtection="1">
      <alignment horizontal="center" vertical="center"/>
      <protection hidden="1"/>
    </xf>
    <xf numFmtId="0" fontId="30" fillId="0" borderId="17" xfId="0" applyFont="1" applyBorder="1" applyAlignment="1" applyProtection="1">
      <alignment horizontal="center" vertical="center" wrapText="1"/>
      <protection hidden="1"/>
    </xf>
    <xf numFmtId="0" fontId="28" fillId="40" borderId="16" xfId="0" applyFont="1" applyFill="1" applyBorder="1" applyAlignment="1" applyProtection="1">
      <alignment horizontal="center" vertical="center"/>
      <protection hidden="1"/>
    </xf>
    <xf numFmtId="0" fontId="28" fillId="41" borderId="16" xfId="0" applyFont="1" applyFill="1" applyBorder="1" applyAlignment="1" applyProtection="1">
      <alignment horizontal="center" vertical="center"/>
      <protection hidden="1"/>
    </xf>
    <xf numFmtId="0" fontId="28" fillId="0" borderId="26" xfId="0" applyFont="1" applyBorder="1" applyAlignment="1" applyProtection="1">
      <alignment horizontal="center" vertical="center"/>
      <protection hidden="1"/>
    </xf>
    <xf numFmtId="3" fontId="34" fillId="0" borderId="58" xfId="0" applyNumberFormat="1" applyFont="1" applyBorder="1" applyAlignment="1" applyProtection="1">
      <alignment horizontal="center" vertical="center" wrapText="1"/>
      <protection hidden="1"/>
    </xf>
    <xf numFmtId="3" fontId="34" fillId="0" borderId="45" xfId="0" applyNumberFormat="1" applyFont="1" applyBorder="1" applyAlignment="1" applyProtection="1">
      <alignment horizontal="center" vertical="center" wrapText="1"/>
      <protection hidden="1"/>
    </xf>
    <xf numFmtId="0" fontId="28" fillId="0" borderId="0" xfId="0" applyFont="1" applyAlignment="1" applyProtection="1">
      <alignment horizontal="center" vertical="center"/>
      <protection hidden="1"/>
    </xf>
    <xf numFmtId="3" fontId="34" fillId="0" borderId="59" xfId="0" applyNumberFormat="1" applyFont="1" applyBorder="1" applyAlignment="1" applyProtection="1">
      <alignment horizontal="center" vertical="center" wrapText="1"/>
      <protection hidden="1"/>
    </xf>
    <xf numFmtId="0" fontId="28" fillId="0" borderId="35" xfId="0" applyFont="1" applyBorder="1" applyAlignment="1" applyProtection="1">
      <alignment horizontal="center" vertical="center"/>
      <protection hidden="1"/>
    </xf>
    <xf numFmtId="0" fontId="24" fillId="10" borderId="16" xfId="0" applyFont="1" applyFill="1" applyBorder="1" applyAlignment="1" applyProtection="1">
      <alignment horizontal="center" vertical="center"/>
      <protection hidden="1"/>
    </xf>
    <xf numFmtId="0" fontId="30" fillId="0" borderId="55" xfId="0" applyFont="1" applyBorder="1" applyAlignment="1" applyProtection="1">
      <alignment horizontal="center" vertical="center" wrapText="1"/>
      <protection hidden="1"/>
    </xf>
    <xf numFmtId="3" fontId="28" fillId="4" borderId="1" xfId="0" applyNumberFormat="1" applyFont="1" applyFill="1" applyBorder="1" applyAlignment="1" applyProtection="1">
      <alignment horizontal="center" vertical="center" wrapText="1"/>
      <protection hidden="1"/>
    </xf>
    <xf numFmtId="0" fontId="28" fillId="0" borderId="1" xfId="0" applyFont="1" applyBorder="1" applyAlignment="1" applyProtection="1">
      <alignment horizontal="center" vertical="center" wrapText="1"/>
      <protection hidden="1"/>
    </xf>
    <xf numFmtId="3" fontId="34" fillId="0" borderId="3" xfId="0" applyNumberFormat="1" applyFont="1" applyBorder="1" applyAlignment="1" applyProtection="1">
      <alignment horizontal="center" vertical="center" wrapText="1"/>
      <protection hidden="1"/>
    </xf>
    <xf numFmtId="3" fontId="34" fillId="0" borderId="0" xfId="0" applyNumberFormat="1" applyFont="1" applyAlignment="1" applyProtection="1">
      <alignment horizontal="center" vertical="center"/>
      <protection hidden="1"/>
    </xf>
    <xf numFmtId="0" fontId="28" fillId="0" borderId="16" xfId="3" applyFont="1" applyBorder="1" applyAlignment="1" applyProtection="1">
      <alignment horizontal="center" vertical="center" wrapText="1"/>
      <protection hidden="1"/>
    </xf>
    <xf numFmtId="0" fontId="8" fillId="0" borderId="16" xfId="0" applyFont="1" applyBorder="1" applyAlignment="1" applyProtection="1">
      <alignment horizontal="center" vertical="center" wrapText="1"/>
      <protection hidden="1"/>
    </xf>
    <xf numFmtId="3" fontId="34" fillId="4" borderId="2" xfId="0" applyNumberFormat="1" applyFont="1" applyFill="1" applyBorder="1" applyAlignment="1" applyProtection="1">
      <alignment horizontal="center" vertical="center" wrapText="1"/>
      <protection hidden="1"/>
    </xf>
    <xf numFmtId="3" fontId="34" fillId="0" borderId="1" xfId="0" applyNumberFormat="1" applyFont="1" applyBorder="1" applyAlignment="1" applyProtection="1">
      <alignment horizontal="center" vertical="center"/>
      <protection hidden="1"/>
    </xf>
    <xf numFmtId="3" fontId="34" fillId="4" borderId="3" xfId="0" applyNumberFormat="1" applyFont="1" applyFill="1" applyBorder="1" applyAlignment="1" applyProtection="1">
      <alignment horizontal="center" vertical="center" wrapText="1"/>
      <protection hidden="1"/>
    </xf>
    <xf numFmtId="0" fontId="34" fillId="0" borderId="34" xfId="3" applyFont="1" applyBorder="1" applyAlignment="1" applyProtection="1">
      <alignment horizontal="center" vertical="center" wrapText="1"/>
      <protection hidden="1"/>
    </xf>
    <xf numFmtId="3" fontId="35" fillId="0" borderId="1" xfId="0" applyNumberFormat="1" applyFont="1" applyBorder="1" applyAlignment="1" applyProtection="1">
      <alignment horizontal="center" vertical="center" wrapText="1"/>
      <protection hidden="1"/>
    </xf>
    <xf numFmtId="3" fontId="34" fillId="0" borderId="0" xfId="0" applyNumberFormat="1" applyFont="1" applyAlignment="1" applyProtection="1">
      <alignment horizontal="center" vertical="center" wrapText="1"/>
      <protection hidden="1"/>
    </xf>
    <xf numFmtId="3" fontId="34" fillId="4" borderId="16" xfId="0" applyNumberFormat="1" applyFont="1" applyFill="1" applyBorder="1" applyAlignment="1" applyProtection="1">
      <alignment horizontal="center" vertical="center" wrapText="1"/>
      <protection hidden="1"/>
    </xf>
    <xf numFmtId="0" fontId="34" fillId="35" borderId="16" xfId="0" applyFont="1" applyFill="1" applyBorder="1" applyAlignment="1" applyProtection="1">
      <alignment horizontal="center" vertical="center" wrapText="1"/>
      <protection hidden="1"/>
    </xf>
    <xf numFmtId="0" fontId="34" fillId="10" borderId="16" xfId="3" applyFont="1" applyFill="1" applyBorder="1" applyAlignment="1" applyProtection="1">
      <alignment horizontal="center" vertical="center" wrapText="1"/>
      <protection hidden="1"/>
    </xf>
    <xf numFmtId="3" fontId="28" fillId="4" borderId="16" xfId="0" applyNumberFormat="1" applyFont="1" applyFill="1" applyBorder="1" applyAlignment="1" applyProtection="1">
      <alignment horizontal="center" vertical="center" wrapText="1"/>
      <protection hidden="1"/>
    </xf>
    <xf numFmtId="3" fontId="34" fillId="0" borderId="4" xfId="0" applyNumberFormat="1" applyFont="1" applyBorder="1" applyAlignment="1" applyProtection="1">
      <alignment horizontal="center" vertical="center"/>
      <protection hidden="1"/>
    </xf>
    <xf numFmtId="3" fontId="34" fillId="8" borderId="1" xfId="0" applyNumberFormat="1" applyFont="1" applyFill="1" applyBorder="1" applyAlignment="1" applyProtection="1">
      <alignment horizontal="center" vertical="center" wrapText="1"/>
      <protection hidden="1"/>
    </xf>
    <xf numFmtId="3" fontId="34" fillId="8" borderId="0" xfId="0" applyNumberFormat="1" applyFont="1" applyFill="1" applyAlignment="1" applyProtection="1">
      <alignment horizontal="center" vertical="center" wrapText="1"/>
      <protection hidden="1"/>
    </xf>
    <xf numFmtId="3" fontId="34" fillId="0" borderId="47" xfId="0" applyNumberFormat="1" applyFont="1" applyBorder="1" applyAlignment="1" applyProtection="1">
      <alignment horizontal="center" vertical="center" wrapText="1"/>
      <protection hidden="1"/>
    </xf>
    <xf numFmtId="3" fontId="34" fillId="0" borderId="61" xfId="0" applyNumberFormat="1" applyFont="1" applyBorder="1" applyAlignment="1" applyProtection="1">
      <alignment horizontal="center" vertical="center" wrapText="1"/>
      <protection hidden="1"/>
    </xf>
    <xf numFmtId="0" fontId="30" fillId="0" borderId="16" xfId="0" applyFont="1" applyBorder="1" applyAlignment="1" applyProtection="1">
      <alignment horizontal="center" vertical="center" wrapText="1"/>
      <protection hidden="1"/>
    </xf>
    <xf numFmtId="0" fontId="34" fillId="0" borderId="27" xfId="3" applyFont="1" applyBorder="1" applyAlignment="1" applyProtection="1">
      <alignment horizontal="center" vertical="center" wrapText="1"/>
      <protection hidden="1"/>
    </xf>
    <xf numFmtId="0" fontId="34" fillId="0" borderId="17" xfId="3" applyFont="1" applyBorder="1" applyAlignment="1" applyProtection="1">
      <alignment horizontal="center" vertical="center" wrapText="1"/>
      <protection hidden="1"/>
    </xf>
    <xf numFmtId="3" fontId="34" fillId="4" borderId="25" xfId="0" applyNumberFormat="1" applyFont="1" applyFill="1" applyBorder="1" applyAlignment="1" applyProtection="1">
      <alignment horizontal="center" vertical="center" wrapText="1"/>
      <protection hidden="1"/>
    </xf>
    <xf numFmtId="3" fontId="34" fillId="4" borderId="5" xfId="0" applyNumberFormat="1" applyFont="1" applyFill="1" applyBorder="1" applyAlignment="1" applyProtection="1">
      <alignment horizontal="center" vertical="center" wrapText="1"/>
      <protection hidden="1"/>
    </xf>
    <xf numFmtId="164" fontId="34" fillId="10" borderId="16" xfId="0" applyNumberFormat="1" applyFont="1" applyFill="1" applyBorder="1" applyAlignment="1" applyProtection="1">
      <alignment horizontal="center" vertical="center" wrapText="1"/>
      <protection hidden="1"/>
    </xf>
    <xf numFmtId="0" fontId="28" fillId="34" borderId="25" xfId="0" applyFont="1" applyFill="1" applyBorder="1" applyAlignment="1" applyProtection="1">
      <alignment horizontal="center" vertical="center"/>
      <protection hidden="1"/>
    </xf>
    <xf numFmtId="0" fontId="34" fillId="0" borderId="42" xfId="0" applyFont="1" applyBorder="1" applyAlignment="1" applyProtection="1">
      <alignment horizontal="center" vertical="center" wrapText="1"/>
      <protection hidden="1"/>
    </xf>
    <xf numFmtId="0" fontId="34" fillId="0" borderId="36" xfId="0" applyFont="1" applyBorder="1" applyAlignment="1" applyProtection="1">
      <alignment horizontal="center" vertical="center" wrapText="1"/>
      <protection hidden="1"/>
    </xf>
    <xf numFmtId="0" fontId="34" fillId="0" borderId="0" xfId="3" applyFont="1" applyAlignment="1" applyProtection="1">
      <alignment horizontal="center" vertical="center" wrapText="1"/>
      <protection hidden="1"/>
    </xf>
    <xf numFmtId="0" fontId="34" fillId="0" borderId="33" xfId="3" applyFont="1" applyBorder="1" applyAlignment="1" applyProtection="1">
      <alignment horizontal="center" vertical="center" wrapText="1"/>
      <protection hidden="1"/>
    </xf>
    <xf numFmtId="0" fontId="11" fillId="9" borderId="0" xfId="0" applyFont="1" applyFill="1" applyAlignment="1" applyProtection="1">
      <alignment horizontal="centerContinuous" vertical="center"/>
      <protection hidden="1"/>
    </xf>
    <xf numFmtId="3" fontId="34" fillId="6" borderId="4" xfId="0" applyNumberFormat="1" applyFont="1" applyFill="1" applyBorder="1" applyAlignment="1" applyProtection="1">
      <alignment horizontal="centerContinuous" vertical="center" wrapText="1"/>
      <protection hidden="1"/>
    </xf>
    <xf numFmtId="3" fontId="34" fillId="6" borderId="13" xfId="0" applyNumberFormat="1" applyFont="1" applyFill="1" applyBorder="1" applyAlignment="1" applyProtection="1">
      <alignment horizontal="centerContinuous" vertical="center" shrinkToFit="1"/>
      <protection hidden="1"/>
    </xf>
    <xf numFmtId="3" fontId="34" fillId="6" borderId="9" xfId="0" applyNumberFormat="1" applyFont="1" applyFill="1" applyBorder="1" applyAlignment="1" applyProtection="1">
      <alignment vertical="center" shrinkToFit="1"/>
      <protection hidden="1"/>
    </xf>
    <xf numFmtId="0" fontId="35" fillId="2" borderId="11" xfId="0" applyFont="1" applyFill="1" applyBorder="1" applyAlignment="1" applyProtection="1">
      <alignment horizontal="centerContinuous" vertical="center" wrapText="1"/>
      <protection hidden="1"/>
    </xf>
    <xf numFmtId="3" fontId="34" fillId="2" borderId="1" xfId="0" applyNumberFormat="1" applyFont="1" applyFill="1" applyBorder="1" applyAlignment="1" applyProtection="1">
      <alignment horizontal="centerContinuous" vertical="center" wrapText="1"/>
      <protection hidden="1"/>
    </xf>
    <xf numFmtId="3" fontId="34" fillId="2" borderId="2" xfId="0" applyNumberFormat="1" applyFont="1" applyFill="1" applyBorder="1" applyAlignment="1" applyProtection="1">
      <alignment horizontal="centerContinuous" vertical="center" wrapText="1"/>
      <protection hidden="1"/>
    </xf>
    <xf numFmtId="3" fontId="34" fillId="2" borderId="13" xfId="0" applyNumberFormat="1" applyFont="1" applyFill="1" applyBorder="1" applyAlignment="1" applyProtection="1">
      <alignment horizontal="center" vertical="center" wrapText="1"/>
      <protection hidden="1"/>
    </xf>
    <xf numFmtId="3" fontId="34" fillId="2" borderId="2" xfId="0" applyNumberFormat="1" applyFont="1" applyFill="1" applyBorder="1" applyAlignment="1" applyProtection="1">
      <alignment horizontal="center" vertical="center" wrapText="1"/>
      <protection hidden="1"/>
    </xf>
    <xf numFmtId="3" fontId="34" fillId="2" borderId="3" xfId="0" applyNumberFormat="1" applyFont="1" applyFill="1" applyBorder="1" applyAlignment="1" applyProtection="1">
      <alignment horizontal="center" vertical="center" wrapText="1"/>
      <protection hidden="1"/>
    </xf>
    <xf numFmtId="3" fontId="34" fillId="2" borderId="6" xfId="0" applyNumberFormat="1" applyFont="1" applyFill="1" applyBorder="1" applyAlignment="1" applyProtection="1">
      <alignment horizontal="center" vertical="center" wrapText="1"/>
      <protection hidden="1"/>
    </xf>
    <xf numFmtId="3" fontId="34" fillId="2" borderId="6" xfId="0" applyNumberFormat="1" applyFont="1" applyFill="1" applyBorder="1" applyAlignment="1" applyProtection="1">
      <alignment vertical="center" wrapText="1"/>
      <protection hidden="1"/>
    </xf>
    <xf numFmtId="3" fontId="34" fillId="2" borderId="3" xfId="0" applyNumberFormat="1" applyFont="1" applyFill="1" applyBorder="1" applyAlignment="1" applyProtection="1">
      <alignment vertical="center" wrapText="1"/>
      <protection hidden="1"/>
    </xf>
    <xf numFmtId="0" fontId="30" fillId="19" borderId="16" xfId="0" applyFont="1" applyFill="1" applyBorder="1" applyAlignment="1" applyProtection="1">
      <alignment horizontal="center" vertical="center"/>
      <protection hidden="1"/>
    </xf>
    <xf numFmtId="0" fontId="30" fillId="19" borderId="16" xfId="0" applyFont="1" applyFill="1" applyBorder="1" applyAlignment="1" applyProtection="1">
      <alignment horizontal="centerContinuous" vertical="center" wrapText="1"/>
      <protection hidden="1"/>
    </xf>
    <xf numFmtId="0" fontId="28" fillId="19" borderId="31" xfId="0" applyFont="1" applyFill="1" applyBorder="1" applyAlignment="1" applyProtection="1">
      <alignment horizontal="center" vertical="center"/>
      <protection hidden="1"/>
    </xf>
    <xf numFmtId="0" fontId="28" fillId="19" borderId="32" xfId="0" applyFont="1" applyFill="1" applyBorder="1" applyAlignment="1" applyProtection="1">
      <alignment vertical="center"/>
      <protection hidden="1"/>
    </xf>
    <xf numFmtId="0" fontId="28" fillId="19" borderId="33" xfId="0" applyFont="1" applyFill="1" applyBorder="1" applyAlignment="1" applyProtection="1">
      <alignment vertical="center"/>
      <protection hidden="1"/>
    </xf>
    <xf numFmtId="0" fontId="28" fillId="19" borderId="33" xfId="0" applyFont="1" applyFill="1" applyBorder="1" applyAlignment="1" applyProtection="1">
      <alignment horizontal="centerContinuous" vertical="center"/>
      <protection hidden="1"/>
    </xf>
    <xf numFmtId="0" fontId="28" fillId="19" borderId="31" xfId="0" applyFont="1" applyFill="1" applyBorder="1" applyAlignment="1" applyProtection="1">
      <alignment horizontal="centerContinuous" vertical="center"/>
      <protection hidden="1"/>
    </xf>
    <xf numFmtId="0" fontId="28" fillId="19" borderId="32" xfId="0" applyFont="1" applyFill="1" applyBorder="1" applyAlignment="1" applyProtection="1">
      <alignment horizontal="center" vertical="center"/>
      <protection hidden="1"/>
    </xf>
    <xf numFmtId="0" fontId="28" fillId="19" borderId="33" xfId="0" applyFont="1" applyFill="1" applyBorder="1" applyAlignment="1" applyProtection="1">
      <alignment horizontal="center" vertical="center"/>
      <protection hidden="1"/>
    </xf>
    <xf numFmtId="3" fontId="35" fillId="2" borderId="1" xfId="0" applyNumberFormat="1" applyFont="1" applyFill="1" applyBorder="1" applyAlignment="1" applyProtection="1">
      <alignment horizontal="centerContinuous" vertical="center" wrapText="1"/>
      <protection hidden="1"/>
    </xf>
    <xf numFmtId="0" fontId="35" fillId="2" borderId="7" xfId="0" applyFont="1" applyFill="1" applyBorder="1" applyAlignment="1" applyProtection="1">
      <alignment horizontal="centerContinuous" vertical="center" wrapText="1"/>
      <protection hidden="1"/>
    </xf>
    <xf numFmtId="0" fontId="28" fillId="19" borderId="44" xfId="0" applyFont="1" applyFill="1" applyBorder="1" applyAlignment="1" applyProtection="1">
      <alignment horizontal="centerContinuous" vertical="center"/>
      <protection hidden="1"/>
    </xf>
    <xf numFmtId="3" fontId="34" fillId="2" borderId="45" xfId="0" applyNumberFormat="1" applyFont="1" applyFill="1" applyBorder="1" applyAlignment="1" applyProtection="1">
      <alignment horizontal="center" vertical="center" wrapText="1"/>
      <protection hidden="1"/>
    </xf>
    <xf numFmtId="3" fontId="34" fillId="2" borderId="46" xfId="0" applyNumberFormat="1" applyFont="1" applyFill="1" applyBorder="1" applyAlignment="1" applyProtection="1">
      <alignment horizontal="center" vertical="center" wrapText="1"/>
      <protection hidden="1"/>
    </xf>
    <xf numFmtId="0" fontId="35" fillId="2" borderId="1" xfId="0" applyFont="1" applyFill="1" applyBorder="1" applyAlignment="1" applyProtection="1">
      <alignment horizontal="centerContinuous" vertical="center" wrapText="1"/>
      <protection hidden="1"/>
    </xf>
    <xf numFmtId="0" fontId="35" fillId="2" borderId="4" xfId="0" applyFont="1" applyFill="1" applyBorder="1" applyAlignment="1" applyProtection="1">
      <alignment horizontal="centerContinuous" vertical="center" wrapText="1"/>
      <protection hidden="1"/>
    </xf>
    <xf numFmtId="0" fontId="28" fillId="19" borderId="47" xfId="0" applyFont="1" applyFill="1" applyBorder="1" applyAlignment="1" applyProtection="1">
      <alignment horizontal="centerContinuous" vertical="center"/>
      <protection hidden="1"/>
    </xf>
    <xf numFmtId="0" fontId="28" fillId="19" borderId="17" xfId="0" applyFont="1" applyFill="1" applyBorder="1" applyAlignment="1" applyProtection="1">
      <alignment horizontal="centerContinuous" vertical="center"/>
      <protection hidden="1"/>
    </xf>
    <xf numFmtId="0" fontId="28" fillId="19" borderId="16" xfId="0" applyFont="1" applyFill="1" applyBorder="1" applyAlignment="1" applyProtection="1">
      <alignment horizontal="centerContinuous" vertical="center" wrapText="1"/>
      <protection hidden="1"/>
    </xf>
    <xf numFmtId="0" fontId="28" fillId="19" borderId="27" xfId="0" applyFont="1" applyFill="1" applyBorder="1" applyAlignment="1" applyProtection="1">
      <alignment horizontal="centerContinuous" vertical="center"/>
      <protection hidden="1"/>
    </xf>
    <xf numFmtId="0" fontId="28" fillId="19" borderId="32" xfId="0" applyFont="1" applyFill="1" applyBorder="1" applyAlignment="1" applyProtection="1">
      <alignment horizontal="left" vertical="center" wrapText="1"/>
      <protection hidden="1"/>
    </xf>
    <xf numFmtId="0" fontId="28" fillId="19" borderId="32" xfId="0" applyFont="1" applyFill="1" applyBorder="1" applyAlignment="1" applyProtection="1">
      <alignment vertical="center" wrapText="1"/>
      <protection hidden="1"/>
    </xf>
    <xf numFmtId="0" fontId="28" fillId="19" borderId="33" xfId="0" applyFont="1" applyFill="1" applyBorder="1" applyAlignment="1" applyProtection="1">
      <alignment vertical="center" wrapText="1"/>
      <protection hidden="1"/>
    </xf>
    <xf numFmtId="0" fontId="28" fillId="19" borderId="33" xfId="0" applyFont="1" applyFill="1" applyBorder="1" applyAlignment="1" applyProtection="1">
      <alignment horizontal="left" vertical="center" wrapText="1"/>
      <protection hidden="1"/>
    </xf>
    <xf numFmtId="0" fontId="35" fillId="5" borderId="9" xfId="0" applyFont="1" applyFill="1" applyBorder="1" applyAlignment="1" applyProtection="1">
      <alignment horizontal="centerContinuous" vertical="center" wrapText="1"/>
      <protection hidden="1"/>
    </xf>
    <xf numFmtId="0" fontId="35" fillId="5" borderId="4" xfId="0" applyFont="1" applyFill="1" applyBorder="1" applyAlignment="1" applyProtection="1">
      <alignment horizontal="centerContinuous" vertical="center" wrapText="1"/>
      <protection hidden="1"/>
    </xf>
    <xf numFmtId="0" fontId="34" fillId="5" borderId="2" xfId="0" applyFont="1" applyFill="1" applyBorder="1" applyAlignment="1" applyProtection="1">
      <alignment horizontal="center" vertical="center" wrapText="1"/>
      <protection hidden="1"/>
    </xf>
    <xf numFmtId="0" fontId="34" fillId="5" borderId="6" xfId="0" applyFont="1" applyFill="1" applyBorder="1" applyAlignment="1" applyProtection="1">
      <alignment horizontal="center" vertical="center" wrapText="1"/>
      <protection hidden="1"/>
    </xf>
    <xf numFmtId="0" fontId="34" fillId="5" borderId="3" xfId="0" applyFont="1" applyFill="1" applyBorder="1" applyAlignment="1" applyProtection="1">
      <alignment horizontal="center" vertical="center" wrapText="1"/>
      <protection hidden="1"/>
    </xf>
    <xf numFmtId="0" fontId="35" fillId="5" borderId="7" xfId="0" applyFont="1" applyFill="1" applyBorder="1" applyAlignment="1" applyProtection="1">
      <alignment horizontal="centerContinuous" vertical="center" wrapText="1"/>
      <protection hidden="1"/>
    </xf>
    <xf numFmtId="0" fontId="34" fillId="5" borderId="2" xfId="0" applyFont="1" applyFill="1" applyBorder="1" applyAlignment="1" applyProtection="1">
      <alignment horizontal="centerContinuous" vertical="center" wrapText="1"/>
      <protection hidden="1"/>
    </xf>
    <xf numFmtId="3" fontId="34" fillId="5" borderId="6" xfId="0" applyNumberFormat="1" applyFont="1" applyFill="1" applyBorder="1" applyAlignment="1" applyProtection="1">
      <alignment horizontal="centerContinuous" vertical="center" wrapText="1"/>
      <protection hidden="1"/>
    </xf>
    <xf numFmtId="3" fontId="34" fillId="5" borderId="6" xfId="0" applyNumberFormat="1" applyFont="1" applyFill="1" applyBorder="1" applyAlignment="1" applyProtection="1">
      <alignment vertical="center" wrapText="1"/>
      <protection hidden="1"/>
    </xf>
    <xf numFmtId="3" fontId="34" fillId="5" borderId="3" xfId="0" applyNumberFormat="1" applyFont="1" applyFill="1" applyBorder="1" applyAlignment="1" applyProtection="1">
      <alignment vertical="center" wrapText="1"/>
      <protection hidden="1"/>
    </xf>
    <xf numFmtId="0" fontId="30" fillId="12" borderId="16" xfId="0" applyFont="1" applyFill="1" applyBorder="1" applyAlignment="1" applyProtection="1">
      <alignment horizontal="centerContinuous" vertical="center" wrapText="1"/>
      <protection hidden="1"/>
    </xf>
    <xf numFmtId="0" fontId="34" fillId="5" borderId="24" xfId="0" applyFont="1" applyFill="1" applyBorder="1" applyAlignment="1" applyProtection="1">
      <alignment horizontal="centerContinuous" vertical="center" wrapText="1"/>
      <protection hidden="1"/>
    </xf>
    <xf numFmtId="0" fontId="34" fillId="5" borderId="13" xfId="0" applyFont="1" applyFill="1" applyBorder="1" applyAlignment="1" applyProtection="1">
      <alignment horizontal="centerContinuous" vertical="center" wrapText="1"/>
      <protection hidden="1"/>
    </xf>
    <xf numFmtId="0" fontId="35" fillId="5" borderId="1" xfId="0" applyFont="1" applyFill="1" applyBorder="1" applyAlignment="1" applyProtection="1">
      <alignment horizontal="centerContinuous" vertical="center" wrapText="1"/>
      <protection hidden="1"/>
    </xf>
    <xf numFmtId="0" fontId="34" fillId="5" borderId="50" xfId="0" applyFont="1" applyFill="1" applyBorder="1" applyAlignment="1" applyProtection="1">
      <alignment horizontal="centerContinuous" vertical="center" wrapText="1"/>
      <protection hidden="1"/>
    </xf>
    <xf numFmtId="0" fontId="28" fillId="12" borderId="48" xfId="0" applyFont="1" applyFill="1" applyBorder="1" applyAlignment="1" applyProtection="1">
      <alignment horizontal="center" vertical="center"/>
      <protection hidden="1"/>
    </xf>
    <xf numFmtId="0" fontId="28" fillId="12" borderId="49" xfId="0" applyFont="1" applyFill="1" applyBorder="1" applyAlignment="1" applyProtection="1">
      <alignment horizontal="center" vertical="center"/>
      <protection hidden="1"/>
    </xf>
    <xf numFmtId="0" fontId="34" fillId="5" borderId="51" xfId="0" applyFont="1" applyFill="1" applyBorder="1" applyAlignment="1" applyProtection="1">
      <alignment horizontal="centerContinuous" vertical="center" wrapText="1"/>
      <protection hidden="1"/>
    </xf>
    <xf numFmtId="0" fontId="28" fillId="12" borderId="32" xfId="0" applyFont="1" applyFill="1" applyBorder="1" applyAlignment="1" applyProtection="1">
      <alignment horizontal="center" vertical="center"/>
      <protection hidden="1"/>
    </xf>
    <xf numFmtId="0" fontId="28" fillId="12" borderId="33" xfId="0" applyFont="1" applyFill="1" applyBorder="1" applyAlignment="1" applyProtection="1">
      <alignment horizontal="center" vertical="center"/>
      <protection hidden="1"/>
    </xf>
    <xf numFmtId="3" fontId="34" fillId="5" borderId="24" xfId="0" applyNumberFormat="1" applyFont="1" applyFill="1" applyBorder="1" applyAlignment="1" applyProtection="1">
      <alignment horizontal="center" vertical="center" wrapText="1"/>
      <protection hidden="1"/>
    </xf>
    <xf numFmtId="3" fontId="34" fillId="5" borderId="6" xfId="0" applyNumberFormat="1" applyFont="1" applyFill="1" applyBorder="1" applyAlignment="1" applyProtection="1">
      <alignment horizontal="center" vertical="center" wrapText="1"/>
      <protection hidden="1"/>
    </xf>
    <xf numFmtId="3" fontId="34" fillId="5" borderId="3" xfId="0" applyNumberFormat="1" applyFont="1" applyFill="1" applyBorder="1" applyAlignment="1" applyProtection="1">
      <alignment horizontal="center" vertical="center" wrapText="1"/>
      <protection hidden="1"/>
    </xf>
    <xf numFmtId="3" fontId="35" fillId="5" borderId="2" xfId="0" applyNumberFormat="1" applyFont="1" applyFill="1" applyBorder="1" applyAlignment="1" applyProtection="1">
      <alignment horizontal="center" vertical="center" wrapText="1"/>
      <protection hidden="1"/>
    </xf>
    <xf numFmtId="3" fontId="34" fillId="5" borderId="24" xfId="0" applyNumberFormat="1" applyFont="1" applyFill="1" applyBorder="1" applyAlignment="1" applyProtection="1">
      <alignment horizontal="centerContinuous" vertical="center" wrapText="1"/>
      <protection hidden="1"/>
    </xf>
    <xf numFmtId="3" fontId="34" fillId="5" borderId="2" xfId="0" applyNumberFormat="1" applyFont="1" applyFill="1" applyBorder="1" applyAlignment="1" applyProtection="1">
      <alignment horizontal="centerContinuous" vertical="center" wrapText="1"/>
      <protection hidden="1"/>
    </xf>
    <xf numFmtId="3" fontId="34" fillId="5" borderId="37" xfId="0" applyNumberFormat="1" applyFont="1" applyFill="1" applyBorder="1" applyAlignment="1" applyProtection="1">
      <alignment horizontal="center" vertical="center" wrapText="1"/>
      <protection hidden="1"/>
    </xf>
    <xf numFmtId="0" fontId="30" fillId="14" borderId="16" xfId="0" applyFont="1" applyFill="1" applyBorder="1" applyAlignment="1" applyProtection="1">
      <alignment horizontal="center" vertical="center"/>
      <protection hidden="1"/>
    </xf>
    <xf numFmtId="0" fontId="30" fillId="14" borderId="16" xfId="0" applyFont="1" applyFill="1" applyBorder="1" applyAlignment="1" applyProtection="1">
      <alignment horizontal="centerContinuous" vertical="center" wrapText="1"/>
      <protection hidden="1"/>
    </xf>
    <xf numFmtId="0" fontId="28" fillId="14" borderId="31" xfId="0" applyFont="1" applyFill="1" applyBorder="1" applyAlignment="1" applyProtection="1">
      <alignment horizontal="center" vertical="center"/>
      <protection hidden="1"/>
    </xf>
    <xf numFmtId="0" fontId="28" fillId="14" borderId="32" xfId="0" applyFont="1" applyFill="1" applyBorder="1" applyAlignment="1" applyProtection="1">
      <alignment horizontal="center" vertical="center"/>
      <protection hidden="1"/>
    </xf>
    <xf numFmtId="0" fontId="28" fillId="14" borderId="33" xfId="0" applyFont="1" applyFill="1" applyBorder="1" applyAlignment="1" applyProtection="1">
      <alignment horizontal="center" vertical="center"/>
      <protection hidden="1"/>
    </xf>
    <xf numFmtId="0" fontId="28" fillId="14" borderId="31" xfId="0" applyFont="1" applyFill="1" applyBorder="1" applyAlignment="1" applyProtection="1">
      <alignment horizontal="centerContinuous" vertical="center"/>
      <protection hidden="1"/>
    </xf>
    <xf numFmtId="0" fontId="28" fillId="14" borderId="27" xfId="0" applyFont="1" applyFill="1" applyBorder="1" applyAlignment="1" applyProtection="1">
      <alignment horizontal="center" vertical="center"/>
      <protection hidden="1"/>
    </xf>
    <xf numFmtId="0" fontId="28" fillId="15" borderId="32" xfId="0" applyFont="1" applyFill="1" applyBorder="1" applyAlignment="1" applyProtection="1">
      <alignment vertical="center" wrapText="1"/>
      <protection hidden="1"/>
    </xf>
    <xf numFmtId="0" fontId="28" fillId="15" borderId="33" xfId="0" applyFont="1" applyFill="1" applyBorder="1" applyAlignment="1" applyProtection="1">
      <alignment vertical="center" wrapText="1"/>
      <protection hidden="1"/>
    </xf>
    <xf numFmtId="0" fontId="30" fillId="15" borderId="16" xfId="0" applyFont="1" applyFill="1" applyBorder="1" applyAlignment="1" applyProtection="1">
      <alignment horizontal="centerContinuous" vertical="center" wrapText="1"/>
      <protection hidden="1"/>
    </xf>
    <xf numFmtId="0" fontId="28" fillId="14" borderId="27" xfId="0" applyFont="1" applyFill="1" applyBorder="1" applyAlignment="1" applyProtection="1">
      <alignment horizontal="centerContinuous" vertical="center"/>
      <protection hidden="1"/>
    </xf>
    <xf numFmtId="0" fontId="30" fillId="14" borderId="16" xfId="0" applyFont="1" applyFill="1" applyBorder="1" applyAlignment="1" applyProtection="1">
      <alignment horizontal="centerContinuous" vertical="center"/>
      <protection hidden="1"/>
    </xf>
    <xf numFmtId="0" fontId="28" fillId="14" borderId="33" xfId="0" applyFont="1" applyFill="1" applyBorder="1" applyAlignment="1" applyProtection="1">
      <alignment horizontal="left" vertical="center"/>
      <protection hidden="1"/>
    </xf>
    <xf numFmtId="0" fontId="29" fillId="14" borderId="16" xfId="0" applyFont="1" applyFill="1" applyBorder="1" applyAlignment="1" applyProtection="1">
      <alignment horizontal="centerContinuous" vertical="center"/>
      <protection hidden="1"/>
    </xf>
    <xf numFmtId="0" fontId="8" fillId="14" borderId="32" xfId="0" applyFont="1" applyFill="1" applyBorder="1" applyAlignment="1" applyProtection="1">
      <alignment horizontal="left" vertical="center"/>
      <protection hidden="1"/>
    </xf>
    <xf numFmtId="0" fontId="8" fillId="14" borderId="33" xfId="0" applyFont="1" applyFill="1" applyBorder="1" applyAlignment="1" applyProtection="1">
      <alignment horizontal="left" vertical="center"/>
      <protection hidden="1"/>
    </xf>
    <xf numFmtId="0" fontId="30" fillId="16" borderId="16" xfId="0" applyFont="1" applyFill="1" applyBorder="1" applyAlignment="1" applyProtection="1">
      <alignment horizontal="center" vertical="center"/>
      <protection hidden="1"/>
    </xf>
    <xf numFmtId="0" fontId="30" fillId="16" borderId="16" xfId="0" applyFont="1" applyFill="1" applyBorder="1" applyAlignment="1" applyProtection="1">
      <alignment horizontal="centerContinuous" vertical="center" wrapText="1"/>
      <protection hidden="1"/>
    </xf>
    <xf numFmtId="0" fontId="28" fillId="16" borderId="31" xfId="0" applyFont="1" applyFill="1" applyBorder="1" applyAlignment="1" applyProtection="1">
      <alignment horizontal="center" vertical="center"/>
      <protection hidden="1"/>
    </xf>
    <xf numFmtId="0" fontId="28" fillId="16" borderId="33" xfId="0" applyFont="1" applyFill="1" applyBorder="1" applyAlignment="1" applyProtection="1">
      <alignment horizontal="center" vertical="center"/>
      <protection hidden="1"/>
    </xf>
    <xf numFmtId="0" fontId="28" fillId="16" borderId="32" xfId="0" applyFont="1" applyFill="1" applyBorder="1" applyAlignment="1" applyProtection="1">
      <alignment horizontal="center" vertical="center"/>
      <protection hidden="1"/>
    </xf>
    <xf numFmtId="0" fontId="28" fillId="16" borderId="32" xfId="0" applyFont="1" applyFill="1" applyBorder="1" applyAlignment="1" applyProtection="1">
      <alignment horizontal="left" vertical="center"/>
      <protection hidden="1"/>
    </xf>
    <xf numFmtId="0" fontId="28" fillId="16" borderId="33" xfId="0" applyFont="1" applyFill="1" applyBorder="1" applyAlignment="1" applyProtection="1">
      <alignment horizontal="left" vertical="center"/>
      <protection hidden="1"/>
    </xf>
    <xf numFmtId="0" fontId="30" fillId="16" borderId="31" xfId="0" applyFont="1" applyFill="1" applyBorder="1" applyAlignment="1" applyProtection="1">
      <alignment horizontal="centerContinuous" vertical="center" wrapText="1"/>
      <protection hidden="1"/>
    </xf>
    <xf numFmtId="0" fontId="28" fillId="16" borderId="31" xfId="0" applyFont="1" applyFill="1" applyBorder="1" applyAlignment="1" applyProtection="1">
      <alignment horizontal="centerContinuous" vertical="center"/>
      <protection hidden="1"/>
    </xf>
    <xf numFmtId="0" fontId="28" fillId="16" borderId="27" xfId="0" applyFont="1" applyFill="1" applyBorder="1" applyAlignment="1" applyProtection="1">
      <alignment horizontal="center" vertical="center"/>
      <protection hidden="1"/>
    </xf>
    <xf numFmtId="0" fontId="30" fillId="17" borderId="16" xfId="0" applyFont="1" applyFill="1" applyBorder="1" applyAlignment="1" applyProtection="1">
      <alignment horizontal="center" vertical="center"/>
      <protection hidden="1"/>
    </xf>
    <xf numFmtId="0" fontId="30" fillId="17" borderId="16" xfId="0" applyFont="1" applyFill="1" applyBorder="1" applyAlignment="1" applyProtection="1">
      <alignment horizontal="centerContinuous" vertical="center" wrapText="1"/>
      <protection hidden="1"/>
    </xf>
    <xf numFmtId="0" fontId="28" fillId="17" borderId="31" xfId="0" applyFont="1" applyFill="1" applyBorder="1" applyAlignment="1" applyProtection="1">
      <alignment horizontal="center" vertical="center"/>
      <protection hidden="1"/>
    </xf>
    <xf numFmtId="0" fontId="28" fillId="17" borderId="32" xfId="0" applyFont="1" applyFill="1" applyBorder="1" applyAlignment="1" applyProtection="1">
      <alignment horizontal="center" vertical="center"/>
      <protection hidden="1"/>
    </xf>
    <xf numFmtId="0" fontId="28" fillId="17" borderId="33" xfId="0" applyFont="1" applyFill="1" applyBorder="1" applyAlignment="1" applyProtection="1">
      <alignment horizontal="center" vertical="center"/>
      <protection hidden="1"/>
    </xf>
    <xf numFmtId="3" fontId="28" fillId="17" borderId="31" xfId="0" applyNumberFormat="1" applyFont="1" applyFill="1" applyBorder="1" applyAlignment="1" applyProtection="1">
      <alignment horizontal="center" vertical="center"/>
      <protection hidden="1"/>
    </xf>
    <xf numFmtId="0" fontId="28" fillId="17" borderId="33" xfId="0" applyFont="1" applyFill="1" applyBorder="1" applyAlignment="1" applyProtection="1">
      <alignment horizontal="left" vertical="center"/>
      <protection hidden="1"/>
    </xf>
    <xf numFmtId="0" fontId="28" fillId="17" borderId="32" xfId="0" applyFont="1" applyFill="1" applyBorder="1" applyAlignment="1" applyProtection="1">
      <alignment horizontal="left" vertical="center"/>
      <protection hidden="1"/>
    </xf>
    <xf numFmtId="0" fontId="28" fillId="17" borderId="17" xfId="0" applyFont="1" applyFill="1" applyBorder="1" applyAlignment="1" applyProtection="1">
      <alignment horizontal="centerContinuous" vertical="center"/>
      <protection hidden="1"/>
    </xf>
    <xf numFmtId="0" fontId="28" fillId="17" borderId="27" xfId="0" applyFont="1" applyFill="1" applyBorder="1" applyAlignment="1" applyProtection="1">
      <alignment horizontal="center" vertical="center"/>
      <protection hidden="1"/>
    </xf>
    <xf numFmtId="0" fontId="30" fillId="18" borderId="16" xfId="0" applyFont="1" applyFill="1" applyBorder="1" applyAlignment="1" applyProtection="1">
      <alignment horizontal="center" vertical="center"/>
      <protection hidden="1"/>
    </xf>
    <xf numFmtId="0" fontId="30" fillId="18" borderId="16" xfId="0" applyFont="1" applyFill="1" applyBorder="1" applyAlignment="1" applyProtection="1">
      <alignment horizontal="centerContinuous" vertical="center" wrapText="1"/>
      <protection hidden="1"/>
    </xf>
    <xf numFmtId="0" fontId="28" fillId="18" borderId="16" xfId="0" applyFont="1" applyFill="1" applyBorder="1" applyAlignment="1" applyProtection="1">
      <alignment horizontal="centerContinuous" vertical="center"/>
      <protection hidden="1"/>
    </xf>
    <xf numFmtId="0" fontId="28" fillId="18" borderId="27" xfId="0" applyFont="1" applyFill="1" applyBorder="1" applyAlignment="1" applyProtection="1">
      <alignment horizontal="center" vertical="center"/>
      <protection hidden="1"/>
    </xf>
    <xf numFmtId="0" fontId="28" fillId="18" borderId="32" xfId="0" applyFont="1" applyFill="1" applyBorder="1" applyAlignment="1" applyProtection="1">
      <alignment horizontal="center" vertical="center"/>
      <protection hidden="1"/>
    </xf>
    <xf numFmtId="0" fontId="28" fillId="18" borderId="27" xfId="0" applyFont="1" applyFill="1" applyBorder="1" applyAlignment="1" applyProtection="1">
      <alignment horizontal="centerContinuous" vertical="center"/>
      <protection hidden="1"/>
    </xf>
    <xf numFmtId="0" fontId="28" fillId="18" borderId="33" xfId="0" applyFont="1" applyFill="1" applyBorder="1" applyAlignment="1" applyProtection="1">
      <alignment horizontal="center" vertical="center" wrapText="1"/>
      <protection hidden="1"/>
    </xf>
    <xf numFmtId="0" fontId="28" fillId="18" borderId="31" xfId="0" applyFont="1" applyFill="1" applyBorder="1" applyAlignment="1" applyProtection="1">
      <alignment horizontal="center" vertical="center"/>
      <protection hidden="1"/>
    </xf>
    <xf numFmtId="0" fontId="28" fillId="18" borderId="33" xfId="0" applyFont="1" applyFill="1" applyBorder="1" applyAlignment="1" applyProtection="1">
      <alignment horizontal="left" vertical="center"/>
      <protection hidden="1"/>
    </xf>
    <xf numFmtId="0" fontId="28" fillId="18" borderId="32" xfId="0" applyFont="1" applyFill="1" applyBorder="1" applyAlignment="1" applyProtection="1">
      <alignment horizontal="left" vertical="center"/>
      <protection hidden="1"/>
    </xf>
    <xf numFmtId="0" fontId="28" fillId="18" borderId="33" xfId="0" applyFont="1" applyFill="1" applyBorder="1" applyAlignment="1" applyProtection="1">
      <alignment horizontal="center" vertical="center"/>
      <protection hidden="1"/>
    </xf>
    <xf numFmtId="0" fontId="35" fillId="2" borderId="2" xfId="0" applyFont="1" applyFill="1" applyBorder="1" applyAlignment="1" applyProtection="1">
      <alignment horizontal="centerContinuous" vertical="center" wrapText="1"/>
      <protection hidden="1"/>
    </xf>
    <xf numFmtId="0" fontId="28" fillId="19" borderId="60" xfId="0" applyFont="1" applyFill="1" applyBorder="1" applyAlignment="1" applyProtection="1">
      <alignment horizontal="center" vertical="center"/>
      <protection hidden="1"/>
    </xf>
    <xf numFmtId="0" fontId="28" fillId="19" borderId="0" xfId="0" applyFont="1" applyFill="1" applyAlignment="1" applyProtection="1">
      <alignment horizontal="center" vertical="center"/>
      <protection hidden="1"/>
    </xf>
    <xf numFmtId="0" fontId="28" fillId="19" borderId="35" xfId="0" applyFont="1" applyFill="1" applyBorder="1" applyAlignment="1" applyProtection="1">
      <alignment horizontal="center" vertical="center"/>
      <protection hidden="1"/>
    </xf>
    <xf numFmtId="0" fontId="30" fillId="19" borderId="16" xfId="0" applyFont="1" applyFill="1" applyBorder="1" applyAlignment="1" applyProtection="1">
      <alignment horizontal="centerContinuous" vertical="center"/>
      <protection hidden="1"/>
    </xf>
    <xf numFmtId="3" fontId="34" fillId="2" borderId="13" xfId="0" applyNumberFormat="1" applyFont="1" applyFill="1" applyBorder="1" applyAlignment="1" applyProtection="1">
      <alignment horizontal="centerContinuous" vertical="center" wrapText="1"/>
      <protection hidden="1"/>
    </xf>
    <xf numFmtId="3" fontId="35" fillId="2" borderId="2" xfId="0" applyNumberFormat="1" applyFont="1" applyFill="1" applyBorder="1" applyAlignment="1" applyProtection="1">
      <alignment horizontal="centerContinuous" vertical="center" wrapText="1"/>
      <protection hidden="1"/>
    </xf>
    <xf numFmtId="0" fontId="35" fillId="2" borderId="13" xfId="0" applyFont="1" applyFill="1" applyBorder="1" applyAlignment="1" applyProtection="1">
      <alignment horizontal="centerContinuous" vertical="center" wrapText="1"/>
      <protection hidden="1"/>
    </xf>
    <xf numFmtId="3" fontId="34" fillId="2" borderId="3" xfId="0" applyNumberFormat="1" applyFont="1" applyFill="1" applyBorder="1" applyAlignment="1" applyProtection="1">
      <alignment horizontal="centerContinuous" vertical="center" wrapText="1"/>
      <protection hidden="1"/>
    </xf>
    <xf numFmtId="0" fontId="35" fillId="5" borderId="3" xfId="0" applyFont="1" applyFill="1" applyBorder="1" applyAlignment="1" applyProtection="1">
      <alignment horizontal="centerContinuous" vertical="center" wrapText="1"/>
      <protection hidden="1"/>
    </xf>
    <xf numFmtId="3" fontId="34" fillId="5" borderId="2" xfId="0" applyNumberFormat="1" applyFont="1" applyFill="1" applyBorder="1" applyAlignment="1" applyProtection="1">
      <alignment horizontal="center" vertical="center" wrapText="1"/>
      <protection hidden="1"/>
    </xf>
    <xf numFmtId="3" fontId="34" fillId="5" borderId="1" xfId="0" applyNumberFormat="1" applyFont="1" applyFill="1" applyBorder="1" applyAlignment="1" applyProtection="1">
      <alignment horizontal="centerContinuous" vertical="center" wrapText="1"/>
      <protection hidden="1"/>
    </xf>
    <xf numFmtId="0" fontId="30" fillId="15" borderId="16" xfId="0" applyFont="1" applyFill="1" applyBorder="1" applyAlignment="1" applyProtection="1">
      <alignment horizontal="centerContinuous" vertical="center"/>
      <protection hidden="1"/>
    </xf>
    <xf numFmtId="3" fontId="28" fillId="15" borderId="31" xfId="0" applyNumberFormat="1" applyFont="1" applyFill="1" applyBorder="1" applyAlignment="1" applyProtection="1">
      <alignment horizontal="center" vertical="center"/>
      <protection hidden="1"/>
    </xf>
    <xf numFmtId="0" fontId="28" fillId="15" borderId="33" xfId="0" applyFont="1" applyFill="1" applyBorder="1" applyAlignment="1" applyProtection="1">
      <alignment horizontal="center" vertical="center"/>
      <protection hidden="1"/>
    </xf>
    <xf numFmtId="0" fontId="28" fillId="15" borderId="32" xfId="0" applyFont="1" applyFill="1" applyBorder="1" applyAlignment="1" applyProtection="1">
      <alignment horizontal="center" vertical="center"/>
      <protection hidden="1"/>
    </xf>
    <xf numFmtId="3" fontId="28" fillId="15" borderId="33" xfId="0" applyNumberFormat="1" applyFont="1" applyFill="1" applyBorder="1" applyAlignment="1" applyProtection="1">
      <alignment horizontal="center" vertical="center"/>
      <protection hidden="1"/>
    </xf>
    <xf numFmtId="3" fontId="28" fillId="15" borderId="16" xfId="0" applyNumberFormat="1" applyFont="1" applyFill="1" applyBorder="1" applyAlignment="1" applyProtection="1">
      <alignment horizontal="centerContinuous" vertical="center"/>
      <protection hidden="1"/>
    </xf>
    <xf numFmtId="3" fontId="28" fillId="16" borderId="31" xfId="0" applyNumberFormat="1" applyFont="1" applyFill="1" applyBorder="1" applyAlignment="1" applyProtection="1">
      <alignment horizontal="center" vertical="center" wrapText="1"/>
      <protection hidden="1"/>
    </xf>
    <xf numFmtId="0" fontId="28" fillId="16" borderId="33" xfId="0" applyFont="1" applyFill="1" applyBorder="1" applyAlignment="1" applyProtection="1">
      <alignment horizontal="center" vertical="center" wrapText="1"/>
      <protection hidden="1"/>
    </xf>
    <xf numFmtId="0" fontId="28" fillId="16" borderId="32" xfId="0" applyFont="1" applyFill="1" applyBorder="1" applyAlignment="1" applyProtection="1">
      <alignment horizontal="center" vertical="center" wrapText="1"/>
      <protection hidden="1"/>
    </xf>
    <xf numFmtId="3" fontId="28" fillId="16" borderId="33" xfId="0" applyNumberFormat="1" applyFont="1" applyFill="1" applyBorder="1" applyAlignment="1" applyProtection="1">
      <alignment horizontal="center" vertical="center" wrapText="1"/>
      <protection hidden="1"/>
    </xf>
    <xf numFmtId="3" fontId="28" fillId="16" borderId="31" xfId="0" applyNumberFormat="1" applyFont="1" applyFill="1" applyBorder="1" applyAlignment="1" applyProtection="1">
      <alignment horizontal="centerContinuous" vertical="center" wrapText="1"/>
      <protection hidden="1"/>
    </xf>
    <xf numFmtId="3" fontId="28" fillId="16" borderId="32" xfId="0" applyNumberFormat="1" applyFont="1" applyFill="1" applyBorder="1" applyAlignment="1" applyProtection="1">
      <alignment horizontal="center" vertical="center" wrapText="1"/>
      <protection hidden="1"/>
    </xf>
    <xf numFmtId="0" fontId="30" fillId="17" borderId="33" xfId="0" applyFont="1" applyFill="1" applyBorder="1" applyAlignment="1" applyProtection="1">
      <alignment horizontal="centerContinuous" vertical="center" wrapText="1"/>
      <protection hidden="1"/>
    </xf>
    <xf numFmtId="0" fontId="35" fillId="3" borderId="9" xfId="0" applyFont="1" applyFill="1" applyBorder="1" applyAlignment="1" applyProtection="1">
      <alignment horizontal="centerContinuous" vertical="center" wrapText="1"/>
      <protection hidden="1"/>
    </xf>
    <xf numFmtId="0" fontId="34" fillId="3" borderId="2" xfId="0" applyFont="1" applyFill="1" applyBorder="1" applyAlignment="1" applyProtection="1">
      <alignment horizontal="center" vertical="center" wrapText="1"/>
      <protection hidden="1"/>
    </xf>
    <xf numFmtId="0" fontId="34" fillId="3" borderId="3" xfId="0" applyFont="1" applyFill="1" applyBorder="1" applyAlignment="1" applyProtection="1">
      <alignment horizontal="center" vertical="center" wrapText="1"/>
      <protection hidden="1"/>
    </xf>
    <xf numFmtId="0" fontId="34" fillId="3" borderId="6" xfId="0" applyFont="1" applyFill="1" applyBorder="1" applyAlignment="1" applyProtection="1">
      <alignment horizontal="center" vertical="center" wrapText="1"/>
      <protection hidden="1"/>
    </xf>
    <xf numFmtId="0" fontId="35" fillId="3" borderId="4" xfId="0" applyFont="1" applyFill="1" applyBorder="1" applyAlignment="1" applyProtection="1">
      <alignment horizontal="centerContinuous" vertical="center" wrapText="1"/>
      <protection hidden="1"/>
    </xf>
    <xf numFmtId="0" fontId="35" fillId="3" borderId="1" xfId="0" applyFont="1" applyFill="1" applyBorder="1" applyAlignment="1" applyProtection="1">
      <alignment horizontal="centerContinuous" vertical="center" wrapText="1"/>
      <protection hidden="1"/>
    </xf>
    <xf numFmtId="0" fontId="35" fillId="5" borderId="33" xfId="3" applyFont="1" applyFill="1" applyBorder="1" applyAlignment="1" applyProtection="1">
      <alignment horizontal="centerContinuous" vertical="center" wrapText="1"/>
      <protection hidden="1"/>
    </xf>
    <xf numFmtId="3" fontId="34" fillId="5" borderId="27" xfId="3" applyNumberFormat="1" applyFont="1" applyFill="1" applyBorder="1" applyAlignment="1" applyProtection="1">
      <alignment horizontal="centerContinuous" vertical="center" wrapText="1"/>
      <protection hidden="1"/>
    </xf>
    <xf numFmtId="3" fontId="34" fillId="5" borderId="27" xfId="3" applyNumberFormat="1" applyFont="1" applyFill="1" applyBorder="1" applyAlignment="1" applyProtection="1">
      <alignment horizontal="center" vertical="center" wrapText="1"/>
      <protection hidden="1"/>
    </xf>
    <xf numFmtId="3" fontId="34" fillId="5" borderId="32" xfId="3" applyNumberFormat="1" applyFont="1" applyFill="1" applyBorder="1" applyAlignment="1" applyProtection="1">
      <alignment horizontal="center" vertical="center" wrapText="1"/>
      <protection hidden="1"/>
    </xf>
    <xf numFmtId="3" fontId="34" fillId="5" borderId="33" xfId="3" applyNumberFormat="1" applyFont="1" applyFill="1" applyBorder="1" applyAlignment="1" applyProtection="1">
      <alignment horizontal="center" vertical="center" wrapText="1"/>
      <protection hidden="1"/>
    </xf>
    <xf numFmtId="3" fontId="34" fillId="5" borderId="36" xfId="3" applyNumberFormat="1" applyFont="1" applyFill="1" applyBorder="1" applyAlignment="1" applyProtection="1">
      <alignment horizontal="center" vertical="center" wrapText="1"/>
      <protection hidden="1"/>
    </xf>
    <xf numFmtId="0" fontId="19" fillId="0" borderId="0" xfId="0" applyFont="1" applyAlignment="1" applyProtection="1">
      <alignment vertical="center"/>
      <protection hidden="1"/>
    </xf>
    <xf numFmtId="0" fontId="12" fillId="7" borderId="40" xfId="0" applyFont="1" applyFill="1" applyBorder="1" applyAlignment="1" applyProtection="1">
      <alignment horizontal="center" vertical="center" wrapText="1"/>
      <protection hidden="1"/>
    </xf>
    <xf numFmtId="0" fontId="13" fillId="0" borderId="0" xfId="0" applyFont="1" applyAlignment="1" applyProtection="1">
      <alignment vertical="center" wrapText="1"/>
      <protection hidden="1"/>
    </xf>
    <xf numFmtId="3" fontId="28" fillId="0" borderId="0" xfId="0" applyNumberFormat="1" applyFont="1" applyAlignment="1" applyProtection="1">
      <alignment horizontal="center" vertical="center" wrapText="1"/>
      <protection hidden="1"/>
    </xf>
    <xf numFmtId="0" fontId="34" fillId="0" borderId="4" xfId="0" applyFont="1" applyBorder="1" applyAlignment="1" applyProtection="1">
      <alignment horizontal="center" vertical="center" wrapText="1"/>
      <protection hidden="1"/>
    </xf>
    <xf numFmtId="0" fontId="34" fillId="0" borderId="17" xfId="0" applyFont="1" applyBorder="1" applyAlignment="1" applyProtection="1">
      <alignment horizontal="center" vertical="center" wrapText="1"/>
      <protection hidden="1"/>
    </xf>
    <xf numFmtId="0" fontId="50" fillId="0" borderId="16" xfId="0" applyFont="1" applyBorder="1" applyAlignment="1" applyProtection="1">
      <alignment horizontal="center" vertical="center"/>
      <protection locked="0"/>
    </xf>
    <xf numFmtId="0" fontId="47" fillId="10" borderId="31" xfId="0" applyFont="1" applyFill="1" applyBorder="1" applyAlignment="1" applyProtection="1">
      <alignment horizontal="center" vertical="center"/>
      <protection hidden="1"/>
    </xf>
    <xf numFmtId="0" fontId="47" fillId="10" borderId="32" xfId="0" applyFont="1" applyFill="1" applyBorder="1" applyAlignment="1" applyProtection="1">
      <alignment horizontal="center" vertical="center"/>
      <protection hidden="1"/>
    </xf>
    <xf numFmtId="1" fontId="47" fillId="10" borderId="32" xfId="0" applyNumberFormat="1" applyFont="1" applyFill="1" applyBorder="1" applyAlignment="1" applyProtection="1">
      <alignment horizontal="center" vertical="center"/>
      <protection hidden="1"/>
    </xf>
    <xf numFmtId="49" fontId="47" fillId="0" borderId="32" xfId="0" applyNumberFormat="1" applyFont="1" applyBorder="1" applyAlignment="1" applyProtection="1">
      <alignment horizontal="center" vertical="center"/>
      <protection locked="0"/>
    </xf>
    <xf numFmtId="49" fontId="47" fillId="0" borderId="33" xfId="0" applyNumberFormat="1" applyFont="1" applyBorder="1" applyAlignment="1" applyProtection="1">
      <alignment horizontal="center" vertical="center" wrapText="1"/>
      <protection locked="0"/>
    </xf>
    <xf numFmtId="49" fontId="47" fillId="0" borderId="0" xfId="0" applyNumberFormat="1" applyFont="1" applyAlignment="1">
      <alignment horizontal="center" vertical="center"/>
    </xf>
    <xf numFmtId="0" fontId="47" fillId="0" borderId="31" xfId="0" applyFont="1" applyBorder="1" applyAlignment="1" applyProtection="1">
      <alignment horizontal="center" vertical="center"/>
      <protection locked="0"/>
    </xf>
    <xf numFmtId="0" fontId="47" fillId="0" borderId="32" xfId="0" applyFont="1" applyBorder="1" applyAlignment="1" applyProtection="1">
      <alignment horizontal="center" vertical="center"/>
      <protection locked="0"/>
    </xf>
    <xf numFmtId="1" fontId="47" fillId="0" borderId="32" xfId="0" applyNumberFormat="1" applyFont="1" applyBorder="1" applyAlignment="1" applyProtection="1">
      <alignment horizontal="center" vertical="center"/>
      <protection locked="0"/>
    </xf>
    <xf numFmtId="167" fontId="47" fillId="10" borderId="32" xfId="0" applyNumberFormat="1" applyFont="1" applyFill="1" applyBorder="1" applyAlignment="1" applyProtection="1">
      <alignment horizontal="center" vertical="center"/>
      <protection hidden="1"/>
    </xf>
    <xf numFmtId="0" fontId="47" fillId="0" borderId="33" xfId="0" applyFont="1" applyBorder="1" applyAlignment="1" applyProtection="1">
      <alignment horizontal="center" vertical="center"/>
      <protection locked="0"/>
    </xf>
    <xf numFmtId="49" fontId="47" fillId="0" borderId="16" xfId="0" applyNumberFormat="1" applyFont="1" applyBorder="1" applyAlignment="1" applyProtection="1">
      <alignment horizontal="center" vertical="center"/>
      <protection locked="0"/>
    </xf>
    <xf numFmtId="0" fontId="47" fillId="0" borderId="16" xfId="0" applyFont="1" applyBorder="1" applyAlignment="1" applyProtection="1">
      <alignment horizontal="center" vertical="center"/>
      <protection locked="0"/>
    </xf>
    <xf numFmtId="1" fontId="47" fillId="0" borderId="16" xfId="0" applyNumberFormat="1" applyFont="1" applyBorder="1" applyAlignment="1" applyProtection="1">
      <alignment horizontal="center" vertical="center"/>
      <protection locked="0"/>
    </xf>
    <xf numFmtId="0" fontId="50" fillId="0" borderId="26" xfId="0" applyFont="1" applyBorder="1" applyAlignment="1">
      <alignment horizontal="center" vertical="center" wrapText="1"/>
    </xf>
    <xf numFmtId="0" fontId="50" fillId="0" borderId="0" xfId="0" applyFont="1" applyAlignment="1">
      <alignment horizontal="center" vertical="center" wrapText="1"/>
    </xf>
    <xf numFmtId="0" fontId="50" fillId="0" borderId="35" xfId="0" applyFont="1" applyBorder="1" applyAlignment="1">
      <alignment horizontal="center" vertical="center"/>
    </xf>
    <xf numFmtId="0" fontId="50" fillId="0" borderId="18" xfId="0" applyFont="1" applyBorder="1" applyAlignment="1">
      <alignment horizontal="center" vertical="center"/>
    </xf>
    <xf numFmtId="0" fontId="50" fillId="0" borderId="31" xfId="0" applyFont="1" applyBorder="1" applyAlignment="1" applyProtection="1">
      <alignment horizontal="center" vertical="center"/>
      <protection locked="0"/>
    </xf>
    <xf numFmtId="0" fontId="50" fillId="0" borderId="32" xfId="0" applyFont="1" applyBorder="1" applyAlignment="1" applyProtection="1">
      <alignment horizontal="center" vertical="center"/>
      <protection locked="0"/>
    </xf>
    <xf numFmtId="0" fontId="50" fillId="0" borderId="33" xfId="0" applyFont="1" applyBorder="1" applyAlignment="1" applyProtection="1">
      <alignment horizontal="center" vertical="center"/>
      <protection locked="0"/>
    </xf>
    <xf numFmtId="0" fontId="50" fillId="0" borderId="25" xfId="0" applyFont="1" applyBorder="1" applyAlignment="1">
      <alignment horizontal="center" vertical="center"/>
    </xf>
    <xf numFmtId="0" fontId="50" fillId="0" borderId="18" xfId="0" applyFont="1" applyBorder="1" applyAlignment="1" applyProtection="1">
      <alignment horizontal="center" vertical="center"/>
      <protection locked="0"/>
    </xf>
    <xf numFmtId="0" fontId="50" fillId="0" borderId="26" xfId="0" applyFont="1" applyBorder="1" applyAlignment="1" applyProtection="1">
      <alignment horizontal="center" vertical="center"/>
      <protection locked="0"/>
    </xf>
    <xf numFmtId="0" fontId="50" fillId="0" borderId="28" xfId="0" applyFont="1" applyBorder="1" applyAlignment="1" applyProtection="1">
      <alignment horizontal="center" vertical="center"/>
      <protection locked="0"/>
    </xf>
    <xf numFmtId="0" fontId="50" fillId="0" borderId="30" xfId="0" applyFont="1" applyBorder="1" applyAlignment="1" applyProtection="1">
      <alignment horizontal="center" vertical="center"/>
      <protection locked="0"/>
    </xf>
    <xf numFmtId="0" fontId="50" fillId="0" borderId="26" xfId="0" applyFont="1" applyBorder="1" applyAlignment="1">
      <alignment horizontal="center" vertical="center"/>
    </xf>
    <xf numFmtId="0" fontId="47" fillId="0" borderId="0" xfId="0" applyFont="1" applyAlignment="1">
      <alignment horizontal="center" vertical="center"/>
    </xf>
    <xf numFmtId="3" fontId="47" fillId="11" borderId="31" xfId="0" applyNumberFormat="1" applyFont="1" applyFill="1" applyBorder="1" applyAlignment="1" applyProtection="1">
      <alignment horizontal="center" vertical="center"/>
      <protection hidden="1"/>
    </xf>
    <xf numFmtId="3" fontId="47" fillId="0" borderId="32" xfId="0" applyNumberFormat="1" applyFont="1" applyBorder="1" applyAlignment="1" applyProtection="1">
      <alignment horizontal="center" vertical="center"/>
      <protection locked="0"/>
    </xf>
    <xf numFmtId="3" fontId="47" fillId="0" borderId="33" xfId="0" applyNumberFormat="1" applyFont="1" applyBorder="1" applyAlignment="1" applyProtection="1">
      <alignment horizontal="center" vertical="center"/>
      <protection locked="0"/>
    </xf>
    <xf numFmtId="3" fontId="47" fillId="0" borderId="31" xfId="0" applyNumberFormat="1" applyFont="1" applyBorder="1" applyAlignment="1" applyProtection="1">
      <alignment horizontal="center" vertical="center"/>
      <protection locked="0"/>
    </xf>
    <xf numFmtId="3" fontId="47" fillId="0" borderId="33" xfId="0" applyNumberFormat="1" applyFont="1" applyBorder="1" applyAlignment="1" applyProtection="1">
      <alignment horizontal="center" vertical="center" wrapText="1"/>
      <protection locked="0"/>
    </xf>
    <xf numFmtId="3" fontId="50" fillId="0" borderId="16" xfId="0" applyNumberFormat="1" applyFont="1" applyBorder="1" applyAlignment="1" applyProtection="1">
      <alignment horizontal="center" vertical="center"/>
      <protection locked="0"/>
    </xf>
    <xf numFmtId="3" fontId="50" fillId="0" borderId="31" xfId="0" applyNumberFormat="1" applyFont="1" applyBorder="1" applyAlignment="1" applyProtection="1">
      <alignment horizontal="center" vertical="center"/>
      <protection locked="0"/>
    </xf>
    <xf numFmtId="0" fontId="50" fillId="0" borderId="29" xfId="0" applyFont="1" applyBorder="1" applyAlignment="1">
      <alignment horizontal="center" vertical="center"/>
    </xf>
    <xf numFmtId="0" fontId="50" fillId="0" borderId="30" xfId="0" applyFont="1" applyBorder="1" applyAlignment="1">
      <alignment horizontal="center" vertical="center"/>
    </xf>
    <xf numFmtId="0" fontId="50" fillId="34" borderId="16" xfId="0" applyFont="1" applyFill="1" applyBorder="1" applyAlignment="1" applyProtection="1">
      <alignment horizontal="center" vertical="center"/>
      <protection locked="0"/>
    </xf>
    <xf numFmtId="3" fontId="50" fillId="0" borderId="0" xfId="0" applyNumberFormat="1" applyFont="1" applyAlignment="1" applyProtection="1">
      <alignment horizontal="center" vertical="center"/>
      <protection locked="0"/>
    </xf>
    <xf numFmtId="0" fontId="47" fillId="11" borderId="16" xfId="0" applyFont="1" applyFill="1" applyBorder="1" applyAlignment="1" applyProtection="1">
      <alignment horizontal="center" vertical="center"/>
      <protection hidden="1"/>
    </xf>
    <xf numFmtId="0" fontId="50" fillId="38" borderId="16" xfId="0" applyFont="1" applyFill="1" applyBorder="1" applyAlignment="1" applyProtection="1">
      <alignment horizontal="center" vertical="center" wrapText="1"/>
      <protection hidden="1"/>
    </xf>
    <xf numFmtId="0" fontId="50" fillId="0" borderId="16" xfId="0" applyFont="1" applyBorder="1" applyAlignment="1" applyProtection="1">
      <alignment horizontal="center" vertical="center" wrapText="1"/>
      <protection locked="0"/>
    </xf>
    <xf numFmtId="0" fontId="50" fillId="38" borderId="16" xfId="1" applyNumberFormat="1" applyFont="1" applyFill="1" applyBorder="1" applyAlignment="1" applyProtection="1">
      <alignment horizontal="center" vertical="center" wrapText="1"/>
      <protection hidden="1"/>
    </xf>
    <xf numFmtId="3" fontId="47" fillId="0" borderId="16" xfId="0" applyNumberFormat="1" applyFont="1" applyBorder="1" applyAlignment="1" applyProtection="1">
      <alignment horizontal="center" vertical="center"/>
      <protection locked="0"/>
    </xf>
    <xf numFmtId="3" fontId="50" fillId="0" borderId="16" xfId="0" applyNumberFormat="1" applyFont="1" applyBorder="1" applyAlignment="1" applyProtection="1">
      <alignment horizontal="center" vertical="center" wrapText="1"/>
      <protection locked="0"/>
    </xf>
    <xf numFmtId="0" fontId="47" fillId="0" borderId="0" xfId="0" applyFont="1" applyAlignment="1">
      <alignment horizontal="center" vertical="center" wrapText="1"/>
    </xf>
    <xf numFmtId="0" fontId="50" fillId="10" borderId="16" xfId="0" applyFont="1" applyFill="1" applyBorder="1" applyAlignment="1" applyProtection="1">
      <alignment horizontal="center" vertical="center" wrapText="1"/>
      <protection hidden="1"/>
    </xf>
    <xf numFmtId="0" fontId="50" fillId="0" borderId="18" xfId="0" applyFont="1" applyBorder="1" applyAlignment="1">
      <alignment horizontal="center" vertical="center" wrapText="1"/>
    </xf>
    <xf numFmtId="0" fontId="50" fillId="37" borderId="16" xfId="0" applyFont="1" applyFill="1" applyBorder="1" applyAlignment="1" applyProtection="1">
      <alignment horizontal="center" vertical="center"/>
      <protection locked="0"/>
    </xf>
    <xf numFmtId="3" fontId="47" fillId="0" borderId="0" xfId="0" applyNumberFormat="1" applyFont="1" applyAlignment="1">
      <alignment horizontal="center" vertical="center"/>
    </xf>
    <xf numFmtId="0" fontId="50" fillId="0" borderId="0" xfId="0" applyFont="1" applyAlignment="1" applyProtection="1">
      <alignment horizontal="center" vertical="center" wrapText="1"/>
      <protection locked="0"/>
    </xf>
    <xf numFmtId="0" fontId="50" fillId="39" borderId="16" xfId="0" applyFont="1" applyFill="1" applyBorder="1" applyAlignment="1" applyProtection="1">
      <alignment horizontal="center" vertical="center" wrapText="1"/>
      <protection locked="0"/>
    </xf>
    <xf numFmtId="0" fontId="45" fillId="10" borderId="16" xfId="0" applyFont="1" applyFill="1" applyBorder="1" applyAlignment="1" applyProtection="1">
      <alignment horizontal="center" vertical="center" wrapText="1"/>
      <protection hidden="1"/>
    </xf>
    <xf numFmtId="0" fontId="50" fillId="0" borderId="35" xfId="0" applyFont="1" applyBorder="1" applyAlignment="1">
      <alignment horizontal="center" vertical="center" wrapText="1"/>
    </xf>
    <xf numFmtId="0" fontId="50" fillId="0" borderId="30" xfId="0" applyFont="1" applyBorder="1" applyAlignment="1">
      <alignment horizontal="center" vertical="center" wrapText="1"/>
    </xf>
    <xf numFmtId="0" fontId="45" fillId="0" borderId="16" xfId="0" applyFont="1" applyBorder="1" applyAlignment="1" applyProtection="1">
      <alignment horizontal="center" vertical="center"/>
      <protection locked="0"/>
    </xf>
    <xf numFmtId="0" fontId="45" fillId="0" borderId="31" xfId="0" applyFont="1" applyBorder="1" applyAlignment="1" applyProtection="1">
      <alignment horizontal="center" vertical="center"/>
      <protection locked="0"/>
    </xf>
    <xf numFmtId="0" fontId="45" fillId="0" borderId="18" xfId="0" applyFont="1" applyBorder="1" applyAlignment="1">
      <alignment horizontal="center" vertical="center"/>
    </xf>
    <xf numFmtId="0" fontId="45" fillId="10" borderId="16" xfId="0" applyFont="1" applyFill="1" applyBorder="1" applyAlignment="1" applyProtection="1">
      <alignment horizontal="center" vertical="center"/>
      <protection hidden="1"/>
    </xf>
    <xf numFmtId="4" fontId="47" fillId="0" borderId="0" xfId="0" applyNumberFormat="1" applyFont="1" applyAlignment="1">
      <alignment horizontal="center" vertical="center"/>
    </xf>
    <xf numFmtId="0" fontId="50" fillId="0" borderId="0" xfId="0" applyFont="1" applyAlignment="1">
      <alignment horizontal="center" vertical="center"/>
    </xf>
    <xf numFmtId="0" fontId="50" fillId="10" borderId="16" xfId="0" applyFont="1" applyFill="1" applyBorder="1" applyAlignment="1" applyProtection="1">
      <alignment horizontal="center" vertical="center"/>
      <protection hidden="1"/>
    </xf>
    <xf numFmtId="3" fontId="50" fillId="0" borderId="32" xfId="0" applyNumberFormat="1" applyFont="1" applyBorder="1" applyAlignment="1" applyProtection="1">
      <alignment horizontal="center" vertical="center"/>
      <protection locked="0"/>
    </xf>
    <xf numFmtId="0" fontId="50" fillId="38" borderId="32" xfId="0" applyFont="1" applyFill="1" applyBorder="1" applyAlignment="1" applyProtection="1">
      <alignment horizontal="center" vertical="center"/>
      <protection hidden="1"/>
    </xf>
    <xf numFmtId="0" fontId="50" fillId="37" borderId="31" xfId="0" applyFont="1" applyFill="1" applyBorder="1" applyAlignment="1" applyProtection="1">
      <alignment horizontal="center" vertical="center"/>
      <protection locked="0"/>
    </xf>
    <xf numFmtId="0" fontId="47" fillId="0" borderId="15" xfId="0" applyFont="1" applyBorder="1" applyAlignment="1" applyProtection="1">
      <alignment horizontal="center" vertical="center"/>
      <protection locked="0"/>
    </xf>
    <xf numFmtId="0" fontId="50" fillId="0" borderId="12" xfId="0" applyFont="1" applyBorder="1" applyAlignment="1" applyProtection="1">
      <alignment horizontal="center" vertical="center"/>
      <protection locked="0"/>
    </xf>
    <xf numFmtId="1" fontId="50" fillId="0" borderId="12" xfId="0" applyNumberFormat="1" applyFont="1" applyBorder="1" applyAlignment="1" applyProtection="1">
      <alignment horizontal="center" vertical="center"/>
      <protection locked="0"/>
    </xf>
    <xf numFmtId="0" fontId="47" fillId="0" borderId="12" xfId="0" applyFont="1" applyBorder="1" applyAlignment="1" applyProtection="1">
      <alignment horizontal="center" vertical="center"/>
      <protection locked="0"/>
    </xf>
    <xf numFmtId="49" fontId="47" fillId="0" borderId="10" xfId="0" applyNumberFormat="1" applyFont="1" applyBorder="1" applyAlignment="1" applyProtection="1">
      <alignment horizontal="center" vertical="center"/>
      <protection locked="0"/>
    </xf>
    <xf numFmtId="0" fontId="47" fillId="0" borderId="28" xfId="0" applyFont="1" applyBorder="1" applyAlignment="1" applyProtection="1">
      <alignment horizontal="center" vertical="center"/>
      <protection locked="0"/>
    </xf>
    <xf numFmtId="0" fontId="50" fillId="0" borderId="29" xfId="0" applyFont="1" applyBorder="1" applyAlignment="1" applyProtection="1">
      <alignment horizontal="center" vertical="center"/>
      <protection locked="0"/>
    </xf>
    <xf numFmtId="0" fontId="47" fillId="0" borderId="30" xfId="0" applyFont="1" applyBorder="1" applyAlignment="1" applyProtection="1">
      <alignment horizontal="center" vertical="center"/>
      <protection locked="0"/>
    </xf>
    <xf numFmtId="1" fontId="47" fillId="10" borderId="28" xfId="0" applyNumberFormat="1" applyFont="1" applyFill="1" applyBorder="1" applyAlignment="1" applyProtection="1">
      <alignment horizontal="center" vertical="center"/>
      <protection hidden="1"/>
    </xf>
    <xf numFmtId="1" fontId="47" fillId="10" borderId="30" xfId="0" applyNumberFormat="1" applyFont="1" applyFill="1" applyBorder="1" applyAlignment="1" applyProtection="1">
      <alignment horizontal="center" vertical="center"/>
      <protection hidden="1"/>
    </xf>
    <xf numFmtId="0" fontId="47" fillId="10" borderId="28" xfId="0" applyFont="1" applyFill="1" applyBorder="1" applyAlignment="1" applyProtection="1">
      <alignment horizontal="center" vertical="center"/>
      <protection hidden="1"/>
    </xf>
    <xf numFmtId="0" fontId="47" fillId="10" borderId="30" xfId="0" applyFont="1" applyFill="1" applyBorder="1" applyAlignment="1" applyProtection="1">
      <alignment horizontal="center" vertical="center"/>
      <protection hidden="1"/>
    </xf>
    <xf numFmtId="0" fontId="47" fillId="0" borderId="16" xfId="3" applyFont="1" applyBorder="1" applyAlignment="1" applyProtection="1">
      <alignment horizontal="center" vertical="center"/>
      <protection locked="0"/>
    </xf>
    <xf numFmtId="0" fontId="47" fillId="10" borderId="16" xfId="0" applyFont="1" applyFill="1" applyBorder="1" applyAlignment="1" applyProtection="1">
      <alignment horizontal="center" vertical="center"/>
      <protection hidden="1"/>
    </xf>
    <xf numFmtId="0" fontId="47" fillId="0" borderId="16" xfId="0" applyFont="1" applyBorder="1" applyAlignment="1" applyProtection="1">
      <alignment horizontal="center" vertical="center" wrapText="1"/>
      <protection locked="0"/>
    </xf>
    <xf numFmtId="3" fontId="50" fillId="0" borderId="32" xfId="3" applyNumberFormat="1" applyFont="1" applyBorder="1" applyAlignment="1" applyProtection="1">
      <alignment horizontal="center" vertical="center" wrapText="1"/>
      <protection locked="0"/>
    </xf>
    <xf numFmtId="0" fontId="45" fillId="0" borderId="32" xfId="0" applyFont="1" applyBorder="1" applyAlignment="1" applyProtection="1">
      <alignment horizontal="center" vertical="center"/>
      <protection locked="0"/>
    </xf>
    <xf numFmtId="0" fontId="45" fillId="0" borderId="33" xfId="0" applyFont="1" applyBorder="1" applyAlignment="1" applyProtection="1">
      <alignment horizontal="center" vertical="center"/>
      <protection locked="0"/>
    </xf>
    <xf numFmtId="1" fontId="50" fillId="0" borderId="33" xfId="0" applyNumberFormat="1" applyFont="1" applyBorder="1" applyAlignment="1" applyProtection="1">
      <alignment horizontal="center" vertical="center"/>
      <protection locked="0"/>
    </xf>
    <xf numFmtId="1" fontId="50" fillId="0" borderId="31" xfId="0" applyNumberFormat="1" applyFont="1" applyBorder="1" applyAlignment="1" applyProtection="1">
      <alignment horizontal="center" vertical="center"/>
      <protection locked="0"/>
    </xf>
    <xf numFmtId="0" fontId="50" fillId="0" borderId="32" xfId="0" applyFont="1" applyBorder="1" applyAlignment="1" applyProtection="1">
      <alignment horizontal="center" vertical="center" wrapText="1"/>
      <protection locked="0"/>
    </xf>
    <xf numFmtId="169" fontId="47" fillId="0" borderId="32" xfId="0" applyNumberFormat="1" applyFont="1" applyBorder="1" applyAlignment="1" applyProtection="1">
      <alignment horizontal="center" vertical="center"/>
      <protection locked="0"/>
    </xf>
    <xf numFmtId="0" fontId="47" fillId="0" borderId="33" xfId="0" applyFont="1" applyBorder="1" applyAlignment="1" applyProtection="1">
      <alignment horizontal="center" vertical="center" wrapText="1"/>
      <protection locked="0"/>
    </xf>
    <xf numFmtId="4" fontId="47" fillId="0" borderId="32" xfId="0" applyNumberFormat="1" applyFont="1" applyBorder="1" applyAlignment="1" applyProtection="1">
      <alignment horizontal="center" vertical="center"/>
      <protection locked="0"/>
    </xf>
    <xf numFmtId="169" fontId="47" fillId="10" borderId="16" xfId="0" applyNumberFormat="1" applyFont="1" applyFill="1" applyBorder="1" applyAlignment="1" applyProtection="1">
      <alignment horizontal="center" vertical="center"/>
      <protection hidden="1"/>
    </xf>
    <xf numFmtId="0" fontId="45" fillId="0" borderId="0" xfId="0" applyFont="1" applyAlignment="1">
      <alignment horizontal="center" vertical="center"/>
    </xf>
    <xf numFmtId="3" fontId="47" fillId="35" borderId="16" xfId="0" applyNumberFormat="1" applyFont="1" applyFill="1" applyBorder="1" applyAlignment="1" applyProtection="1">
      <alignment horizontal="center" vertical="center"/>
      <protection locked="0"/>
    </xf>
    <xf numFmtId="3" fontId="47" fillId="11" borderId="16" xfId="0" applyNumberFormat="1" applyFont="1" applyFill="1" applyBorder="1" applyAlignment="1" applyProtection="1">
      <alignment horizontal="center" vertical="center"/>
      <protection hidden="1"/>
    </xf>
    <xf numFmtId="10" fontId="47" fillId="10" borderId="33" xfId="0" applyNumberFormat="1" applyFont="1" applyFill="1" applyBorder="1" applyAlignment="1" applyProtection="1">
      <alignment horizontal="center" vertical="center"/>
      <protection hidden="1"/>
    </xf>
    <xf numFmtId="0" fontId="47" fillId="0" borderId="31" xfId="3" applyFont="1" applyBorder="1" applyAlignment="1" applyProtection="1">
      <alignment horizontal="center" vertical="center"/>
      <protection locked="0"/>
    </xf>
    <xf numFmtId="0" fontId="47" fillId="0" borderId="33" xfId="3" applyFont="1" applyBorder="1" applyAlignment="1" applyProtection="1">
      <alignment horizontal="center" vertical="center"/>
      <protection locked="0"/>
    </xf>
    <xf numFmtId="10" fontId="47" fillId="0" borderId="16" xfId="0" applyNumberFormat="1" applyFont="1" applyBorder="1" applyAlignment="1" applyProtection="1">
      <alignment horizontal="center" vertical="center"/>
      <protection locked="0"/>
    </xf>
    <xf numFmtId="4" fontId="47" fillId="0" borderId="0" xfId="0" applyNumberFormat="1" applyFont="1" applyAlignment="1" applyProtection="1">
      <alignment horizontal="center" vertical="center"/>
      <protection locked="0"/>
    </xf>
    <xf numFmtId="0" fontId="45" fillId="0" borderId="16" xfId="0" applyFont="1" applyBorder="1" applyAlignment="1" applyProtection="1">
      <alignment horizontal="center" vertical="center" wrapText="1"/>
      <protection locked="0"/>
    </xf>
    <xf numFmtId="0" fontId="50" fillId="0" borderId="0" xfId="0" applyFont="1" applyAlignment="1" applyProtection="1">
      <alignment horizontal="center" vertical="center"/>
      <protection locked="0"/>
    </xf>
    <xf numFmtId="0" fontId="47" fillId="0" borderId="18" xfId="3" applyFont="1" applyBorder="1" applyAlignment="1">
      <alignment horizontal="center" vertical="center" wrapText="1"/>
    </xf>
    <xf numFmtId="164" fontId="47" fillId="0" borderId="0" xfId="0" applyNumberFormat="1" applyFont="1" applyAlignment="1">
      <alignment horizontal="center" vertical="center"/>
    </xf>
    <xf numFmtId="165" fontId="47" fillId="0" borderId="0" xfId="0" applyNumberFormat="1" applyFont="1" applyAlignment="1">
      <alignment horizontal="center" vertical="center"/>
    </xf>
    <xf numFmtId="0" fontId="47" fillId="0" borderId="31" xfId="0" applyFont="1" applyBorder="1" applyAlignment="1" applyProtection="1">
      <alignment horizontal="center" vertical="center" wrapText="1"/>
      <protection locked="0"/>
    </xf>
    <xf numFmtId="0" fontId="47" fillId="0" borderId="32" xfId="0" applyFont="1" applyBorder="1" applyAlignment="1" applyProtection="1">
      <alignment horizontal="center" vertical="center" wrapText="1"/>
      <protection locked="0"/>
    </xf>
    <xf numFmtId="0" fontId="47" fillId="10" borderId="31" xfId="0" applyFont="1" applyFill="1" applyBorder="1" applyAlignment="1" applyProtection="1">
      <alignment horizontal="center" vertical="center"/>
      <protection locked="0" hidden="1"/>
    </xf>
    <xf numFmtId="0" fontId="47" fillId="10" borderId="33" xfId="0" applyFont="1" applyFill="1" applyBorder="1" applyAlignment="1" applyProtection="1">
      <alignment horizontal="center" vertical="center"/>
      <protection locked="0" hidden="1"/>
    </xf>
    <xf numFmtId="3" fontId="34" fillId="2" borderId="6" xfId="0" applyNumberFormat="1" applyFont="1" applyFill="1" applyBorder="1" applyAlignment="1" applyProtection="1">
      <alignment horizontal="centerContinuous" vertical="center" wrapText="1"/>
      <protection hidden="1"/>
    </xf>
    <xf numFmtId="165" fontId="50" fillId="0" borderId="31" xfId="0" applyNumberFormat="1" applyFont="1" applyBorder="1" applyAlignment="1" applyProtection="1">
      <alignment horizontal="center" vertical="center"/>
      <protection locked="0"/>
    </xf>
    <xf numFmtId="165" fontId="50" fillId="0" borderId="32" xfId="0" applyNumberFormat="1" applyFont="1" applyBorder="1" applyAlignment="1" applyProtection="1">
      <alignment horizontal="center" vertical="center"/>
      <protection locked="0"/>
    </xf>
    <xf numFmtId="165" fontId="50" fillId="0" borderId="33" xfId="0" applyNumberFormat="1" applyFont="1" applyBorder="1" applyAlignment="1" applyProtection="1">
      <alignment horizontal="center" vertical="center"/>
      <protection locked="0"/>
    </xf>
    <xf numFmtId="165" fontId="50" fillId="43" borderId="31" xfId="0" applyNumberFormat="1" applyFont="1" applyFill="1" applyBorder="1" applyAlignment="1" applyProtection="1">
      <alignment horizontal="center" vertical="center" wrapText="1"/>
      <protection hidden="1"/>
    </xf>
    <xf numFmtId="1" fontId="50" fillId="43" borderId="33" xfId="0" applyNumberFormat="1" applyFont="1" applyFill="1" applyBorder="1" applyAlignment="1" applyProtection="1">
      <alignment horizontal="center" vertical="center"/>
      <protection hidden="1"/>
    </xf>
    <xf numFmtId="10" fontId="50" fillId="43" borderId="33" xfId="1" applyNumberFormat="1" applyFont="1" applyFill="1" applyBorder="1" applyAlignment="1" applyProtection="1">
      <alignment horizontal="center" vertical="center"/>
      <protection hidden="1"/>
    </xf>
    <xf numFmtId="0" fontId="50" fillId="34" borderId="33" xfId="0" applyFont="1" applyFill="1" applyBorder="1" applyAlignment="1" applyProtection="1">
      <alignment horizontal="center" vertical="center"/>
      <protection locked="0"/>
    </xf>
    <xf numFmtId="1" fontId="50" fillId="43" borderId="31" xfId="0" applyNumberFormat="1" applyFont="1" applyFill="1" applyBorder="1" applyAlignment="1" applyProtection="1">
      <alignment horizontal="center" vertical="center" wrapText="1"/>
      <protection hidden="1"/>
    </xf>
    <xf numFmtId="172" fontId="50" fillId="0" borderId="31" xfId="0" applyNumberFormat="1" applyFont="1" applyBorder="1" applyAlignment="1" applyProtection="1">
      <alignment horizontal="center" vertical="center" wrapText="1"/>
      <protection locked="0"/>
    </xf>
    <xf numFmtId="172" fontId="50" fillId="0" borderId="33" xfId="0" applyNumberFormat="1" applyFont="1" applyBorder="1" applyAlignment="1" applyProtection="1">
      <alignment horizontal="center" vertical="center" wrapText="1"/>
      <protection locked="0"/>
    </xf>
    <xf numFmtId="0" fontId="50" fillId="0" borderId="31" xfId="0" applyFont="1" applyBorder="1" applyAlignment="1" applyProtection="1">
      <alignment horizontal="center" vertical="center" wrapText="1"/>
      <protection locked="0"/>
    </xf>
    <xf numFmtId="0" fontId="50" fillId="38" borderId="33" xfId="0" applyFont="1" applyFill="1" applyBorder="1" applyAlignment="1" applyProtection="1">
      <alignment horizontal="center" vertical="center" wrapText="1"/>
      <protection hidden="1"/>
    </xf>
    <xf numFmtId="0" fontId="50" fillId="0" borderId="33" xfId="0" applyFont="1" applyBorder="1" applyAlignment="1" applyProtection="1">
      <alignment horizontal="center" vertical="center" wrapText="1"/>
      <protection locked="0"/>
    </xf>
    <xf numFmtId="0" fontId="50" fillId="38" borderId="32" xfId="0" applyFont="1" applyFill="1" applyBorder="1" applyAlignment="1" applyProtection="1">
      <alignment horizontal="center" vertical="center" wrapText="1"/>
      <protection hidden="1"/>
    </xf>
    <xf numFmtId="3" fontId="50" fillId="38" borderId="31" xfId="0" applyNumberFormat="1" applyFont="1" applyFill="1" applyBorder="1" applyAlignment="1" applyProtection="1">
      <alignment horizontal="center" vertical="center"/>
      <protection hidden="1"/>
    </xf>
    <xf numFmtId="0" fontId="50" fillId="32" borderId="33" xfId="0" applyFont="1" applyFill="1" applyBorder="1" applyAlignment="1" applyProtection="1">
      <alignment horizontal="center" vertical="center"/>
      <protection hidden="1"/>
    </xf>
    <xf numFmtId="1" fontId="50" fillId="40" borderId="31" xfId="0" applyNumberFormat="1" applyFont="1" applyFill="1" applyBorder="1" applyAlignment="1" applyProtection="1">
      <alignment horizontal="center" vertical="center"/>
      <protection locked="0"/>
    </xf>
    <xf numFmtId="0" fontId="50" fillId="40" borderId="31" xfId="0" applyFont="1" applyFill="1" applyBorder="1" applyAlignment="1" applyProtection="1">
      <alignment horizontal="center" vertical="center"/>
      <protection locked="0"/>
    </xf>
    <xf numFmtId="0" fontId="50" fillId="42" borderId="32" xfId="0" applyFont="1" applyFill="1" applyBorder="1" applyAlignment="1" applyProtection="1">
      <alignment horizontal="center" vertical="center"/>
      <protection hidden="1"/>
    </xf>
    <xf numFmtId="0" fontId="50" fillId="42" borderId="33" xfId="0" applyFont="1" applyFill="1" applyBorder="1" applyAlignment="1" applyProtection="1">
      <alignment horizontal="center" vertical="center"/>
      <protection hidden="1"/>
    </xf>
    <xf numFmtId="1" fontId="47" fillId="0" borderId="33" xfId="0" applyNumberFormat="1" applyFont="1" applyBorder="1" applyAlignment="1" applyProtection="1">
      <alignment horizontal="center" vertical="center"/>
      <protection locked="0"/>
    </xf>
    <xf numFmtId="3" fontId="45" fillId="0" borderId="32" xfId="0" applyNumberFormat="1" applyFont="1" applyBorder="1" applyAlignment="1" applyProtection="1">
      <alignment horizontal="center" vertical="center"/>
      <protection locked="0"/>
    </xf>
    <xf numFmtId="4" fontId="50" fillId="0" borderId="33" xfId="0" applyNumberFormat="1" applyFont="1" applyBorder="1" applyAlignment="1" applyProtection="1">
      <alignment horizontal="center" vertical="center"/>
      <protection locked="0"/>
    </xf>
    <xf numFmtId="3" fontId="50" fillId="0" borderId="32" xfId="0" applyNumberFormat="1" applyFont="1" applyBorder="1" applyAlignment="1" applyProtection="1">
      <alignment horizontal="center" vertical="center" wrapText="1"/>
      <protection locked="0"/>
    </xf>
    <xf numFmtId="3" fontId="47" fillId="0" borderId="32" xfId="3" applyNumberFormat="1" applyFont="1" applyBorder="1" applyAlignment="1" applyProtection="1">
      <alignment horizontal="center" vertical="center"/>
      <protection locked="0"/>
    </xf>
    <xf numFmtId="0" fontId="47" fillId="0" borderId="32" xfId="3" applyFont="1" applyBorder="1" applyAlignment="1" applyProtection="1">
      <alignment horizontal="center" vertical="center" wrapText="1"/>
      <protection locked="0"/>
    </xf>
    <xf numFmtId="0" fontId="34" fillId="2" borderId="1" xfId="0" applyFont="1" applyFill="1" applyBorder="1" applyAlignment="1">
      <alignment horizontal="centerContinuous" vertical="center" wrapText="1"/>
    </xf>
    <xf numFmtId="1" fontId="50" fillId="0" borderId="32" xfId="0" applyNumberFormat="1" applyFont="1" applyBorder="1" applyAlignment="1" applyProtection="1">
      <alignment horizontal="center" vertical="center"/>
      <protection locked="0"/>
    </xf>
    <xf numFmtId="3" fontId="28" fillId="2" borderId="1" xfId="0" applyNumberFormat="1" applyFont="1" applyFill="1" applyBorder="1" applyAlignment="1">
      <alignment horizontal="centerContinuous" vertical="center" wrapText="1"/>
    </xf>
    <xf numFmtId="0" fontId="47" fillId="0" borderId="0" xfId="0" applyFont="1" applyAlignment="1" applyProtection="1">
      <alignment horizontal="center" vertical="center"/>
      <protection hidden="1"/>
    </xf>
    <xf numFmtId="3" fontId="47" fillId="0" borderId="28" xfId="0" applyNumberFormat="1" applyFont="1" applyBorder="1" applyAlignment="1" applyProtection="1">
      <alignment horizontal="center" vertical="center"/>
      <protection locked="0"/>
    </xf>
    <xf numFmtId="3" fontId="47" fillId="0" borderId="29" xfId="0" applyNumberFormat="1" applyFont="1" applyBorder="1" applyAlignment="1" applyProtection="1">
      <alignment horizontal="center" vertical="center"/>
      <protection locked="0"/>
    </xf>
    <xf numFmtId="3" fontId="47" fillId="0" borderId="32" xfId="3" applyNumberFormat="1" applyFont="1" applyBorder="1" applyAlignment="1" applyProtection="1">
      <alignment horizontal="center" vertical="center" wrapText="1"/>
      <protection locked="0"/>
    </xf>
    <xf numFmtId="4" fontId="47" fillId="0" borderId="31" xfId="0" applyNumberFormat="1" applyFont="1" applyBorder="1" applyAlignment="1" applyProtection="1">
      <alignment horizontal="center" vertical="center"/>
      <protection locked="0"/>
    </xf>
    <xf numFmtId="4" fontId="47" fillId="0" borderId="33" xfId="0" applyNumberFormat="1" applyFont="1" applyBorder="1" applyAlignment="1" applyProtection="1">
      <alignment horizontal="center" vertical="center"/>
      <protection locked="0"/>
    </xf>
    <xf numFmtId="0" fontId="30" fillId="16" borderId="16" xfId="0" applyFont="1" applyFill="1" applyBorder="1" applyAlignment="1">
      <alignment horizontal="left" vertical="center" wrapText="1"/>
    </xf>
    <xf numFmtId="0" fontId="47" fillId="10" borderId="33" xfId="0" applyFont="1" applyFill="1" applyBorder="1" applyAlignment="1" applyProtection="1">
      <alignment horizontal="center" vertical="center"/>
      <protection hidden="1"/>
    </xf>
    <xf numFmtId="164" fontId="47" fillId="0" borderId="31" xfId="0" applyNumberFormat="1" applyFont="1" applyBorder="1" applyAlignment="1" applyProtection="1">
      <alignment horizontal="center" vertical="center"/>
      <protection locked="0"/>
    </xf>
    <xf numFmtId="164" fontId="47" fillId="0" borderId="33" xfId="0" applyNumberFormat="1" applyFont="1" applyBorder="1" applyAlignment="1" applyProtection="1">
      <alignment horizontal="center" vertical="center"/>
      <protection locked="0"/>
    </xf>
    <xf numFmtId="164" fontId="47" fillId="0" borderId="32" xfId="0" applyNumberFormat="1" applyFont="1" applyBorder="1" applyAlignment="1" applyProtection="1">
      <alignment horizontal="center" vertical="center"/>
      <protection locked="0"/>
    </xf>
    <xf numFmtId="164" fontId="47" fillId="10" borderId="31" xfId="0" applyNumberFormat="1" applyFont="1" applyFill="1" applyBorder="1" applyAlignment="1" applyProtection="1">
      <alignment horizontal="center" vertical="center"/>
      <protection hidden="1"/>
    </xf>
    <xf numFmtId="164" fontId="47" fillId="10" borderId="33" xfId="0" applyNumberFormat="1" applyFont="1" applyFill="1" applyBorder="1" applyAlignment="1" applyProtection="1">
      <alignment horizontal="center" vertical="center"/>
      <protection hidden="1"/>
    </xf>
    <xf numFmtId="0" fontId="47" fillId="0" borderId="31" xfId="3" applyFont="1" applyBorder="1" applyAlignment="1" applyProtection="1">
      <alignment horizontal="center" vertical="center" wrapText="1"/>
      <protection locked="0"/>
    </xf>
    <xf numFmtId="0" fontId="47" fillId="0" borderId="33" xfId="3" applyFont="1" applyBorder="1" applyAlignment="1" applyProtection="1">
      <alignment horizontal="center" vertical="center" wrapText="1"/>
      <protection locked="0"/>
    </xf>
    <xf numFmtId="165" fontId="47" fillId="0" borderId="32" xfId="0" applyNumberFormat="1" applyFont="1" applyBorder="1" applyAlignment="1" applyProtection="1">
      <alignment horizontal="center" vertical="center"/>
      <protection locked="0"/>
    </xf>
    <xf numFmtId="165" fontId="47" fillId="0" borderId="33" xfId="0" applyNumberFormat="1" applyFont="1" applyBorder="1" applyAlignment="1" applyProtection="1">
      <alignment horizontal="center" vertical="center"/>
      <protection locked="0"/>
    </xf>
    <xf numFmtId="165" fontId="47" fillId="0" borderId="60" xfId="0" applyNumberFormat="1" applyFont="1" applyBorder="1" applyAlignment="1" applyProtection="1">
      <alignment horizontal="center" vertical="center"/>
      <protection locked="0"/>
    </xf>
    <xf numFmtId="3" fontId="47" fillId="10" borderId="33" xfId="0" applyNumberFormat="1" applyFont="1" applyFill="1" applyBorder="1" applyAlignment="1" applyProtection="1">
      <alignment horizontal="center" vertical="center"/>
      <protection hidden="1"/>
    </xf>
    <xf numFmtId="4" fontId="47" fillId="0" borderId="32" xfId="0" applyNumberFormat="1" applyFont="1" applyBorder="1" applyAlignment="1" applyProtection="1">
      <alignment horizontal="center" vertical="center" wrapText="1"/>
      <protection locked="0"/>
    </xf>
    <xf numFmtId="3" fontId="47" fillId="0" borderId="28" xfId="3" applyNumberFormat="1" applyFont="1" applyBorder="1" applyAlignment="1" applyProtection="1">
      <alignment horizontal="center" vertical="center"/>
      <protection locked="0"/>
    </xf>
    <xf numFmtId="3" fontId="47" fillId="0" borderId="30" xfId="0" applyNumberFormat="1" applyFont="1" applyBorder="1" applyAlignment="1" applyProtection="1">
      <alignment horizontal="center" vertical="center"/>
      <protection locked="0"/>
    </xf>
    <xf numFmtId="3" fontId="47" fillId="10" borderId="16" xfId="0" applyNumberFormat="1" applyFont="1" applyFill="1" applyBorder="1" applyAlignment="1">
      <alignment horizontal="center" vertical="center"/>
    </xf>
    <xf numFmtId="0" fontId="19" fillId="0" borderId="0" xfId="0" applyFont="1" applyAlignment="1" applyProtection="1">
      <alignment horizontal="center" vertical="center"/>
      <protection locked="0"/>
    </xf>
    <xf numFmtId="0" fontId="0" fillId="0" borderId="0" xfId="0"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22"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3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45" fillId="0" borderId="0" xfId="0" applyFont="1" applyAlignment="1">
      <alignment horizontal="center" vertical="center" wrapText="1"/>
    </xf>
    <xf numFmtId="0" fontId="47" fillId="0" borderId="29" xfId="0" applyFont="1" applyBorder="1" applyAlignment="1" applyProtection="1">
      <alignment horizontal="center" vertical="center"/>
      <protection locked="0"/>
    </xf>
    <xf numFmtId="3" fontId="34" fillId="2" borderId="8" xfId="0" applyNumberFormat="1" applyFont="1" applyFill="1" applyBorder="1" applyAlignment="1">
      <alignment horizontal="center" vertical="center" wrapText="1"/>
    </xf>
    <xf numFmtId="3" fontId="34" fillId="2" borderId="7" xfId="0" applyNumberFormat="1" applyFont="1" applyFill="1" applyBorder="1" applyAlignment="1">
      <alignment horizontal="center" vertical="center" wrapText="1"/>
    </xf>
    <xf numFmtId="0" fontId="35" fillId="2" borderId="5" xfId="0" applyFont="1" applyFill="1" applyBorder="1" applyAlignment="1">
      <alignment horizontal="left" vertical="center" wrapText="1"/>
    </xf>
    <xf numFmtId="3" fontId="28" fillId="16" borderId="16" xfId="0" applyNumberFormat="1" applyFont="1" applyFill="1" applyBorder="1" applyAlignment="1" applyProtection="1">
      <alignment horizontal="centerContinuous" vertical="center" wrapText="1"/>
      <protection hidden="1"/>
    </xf>
    <xf numFmtId="3" fontId="28" fillId="17" borderId="16" xfId="0" applyNumberFormat="1" applyFont="1" applyFill="1" applyBorder="1" applyAlignment="1" applyProtection="1">
      <alignment horizontal="centerContinuous" vertical="center"/>
      <protection hidden="1"/>
    </xf>
    <xf numFmtId="0" fontId="30" fillId="14" borderId="34" xfId="0" applyFont="1" applyFill="1" applyBorder="1" applyAlignment="1">
      <alignment horizontal="left" vertical="center"/>
    </xf>
    <xf numFmtId="3" fontId="28" fillId="17" borderId="32" xfId="0" applyNumberFormat="1" applyFont="1" applyFill="1" applyBorder="1" applyAlignment="1" applyProtection="1">
      <alignment horizontal="center" vertical="center"/>
      <protection hidden="1"/>
    </xf>
    <xf numFmtId="0" fontId="2" fillId="19" borderId="17" xfId="0" applyFont="1" applyFill="1" applyBorder="1" applyAlignment="1">
      <alignment vertical="center" wrapText="1"/>
    </xf>
    <xf numFmtId="0" fontId="47" fillId="0" borderId="0" xfId="0" applyFont="1" applyAlignment="1" applyProtection="1">
      <alignment horizontal="center" vertical="center" wrapText="1"/>
      <protection locked="0"/>
    </xf>
    <xf numFmtId="0" fontId="34" fillId="0" borderId="0" xfId="3" applyFont="1" applyAlignment="1">
      <alignment horizontal="center" vertical="center" wrapText="1"/>
    </xf>
    <xf numFmtId="3" fontId="35" fillId="5" borderId="27" xfId="3" applyNumberFormat="1" applyFont="1" applyFill="1" applyBorder="1" applyAlignment="1" applyProtection="1">
      <alignment horizontal="centerContinuous" vertical="center" wrapText="1"/>
      <protection hidden="1"/>
    </xf>
    <xf numFmtId="3" fontId="34" fillId="5" borderId="27" xfId="3" applyNumberFormat="1" applyFont="1" applyFill="1" applyBorder="1" applyAlignment="1" applyProtection="1">
      <alignment horizontal="left" vertical="center" wrapText="1"/>
      <protection hidden="1"/>
    </xf>
    <xf numFmtId="3" fontId="34" fillId="5" borderId="16" xfId="3" applyNumberFormat="1" applyFont="1" applyFill="1" applyBorder="1" applyAlignment="1" applyProtection="1">
      <alignment horizontal="center" vertical="center" wrapText="1"/>
      <protection hidden="1"/>
    </xf>
    <xf numFmtId="3" fontId="34" fillId="5" borderId="31" xfId="3" applyNumberFormat="1" applyFont="1" applyFill="1" applyBorder="1" applyAlignment="1" applyProtection="1">
      <alignment horizontal="centerContinuous" vertical="center" wrapText="1"/>
      <protection hidden="1"/>
    </xf>
    <xf numFmtId="3" fontId="34" fillId="5" borderId="32" xfId="3" applyNumberFormat="1" applyFont="1" applyFill="1" applyBorder="1" applyAlignment="1" applyProtection="1">
      <alignment horizontal="centerContinuous" vertical="center" wrapText="1"/>
      <protection hidden="1"/>
    </xf>
    <xf numFmtId="3" fontId="34" fillId="5" borderId="16" xfId="3" applyNumberFormat="1" applyFont="1" applyFill="1" applyBorder="1" applyAlignment="1" applyProtection="1">
      <alignment horizontal="left" vertical="center" wrapText="1"/>
      <protection hidden="1"/>
    </xf>
    <xf numFmtId="3" fontId="35" fillId="5" borderId="0" xfId="3" applyNumberFormat="1" applyFont="1" applyFill="1" applyAlignment="1" applyProtection="1">
      <alignment horizontal="centerContinuous" vertical="center" wrapText="1"/>
      <protection hidden="1"/>
    </xf>
    <xf numFmtId="3" fontId="34" fillId="5" borderId="16" xfId="3" applyNumberFormat="1" applyFont="1" applyFill="1" applyBorder="1" applyAlignment="1" applyProtection="1">
      <alignment horizontal="centerContinuous" vertical="center" wrapText="1"/>
      <protection hidden="1"/>
    </xf>
    <xf numFmtId="0" fontId="34" fillId="10" borderId="0" xfId="3" applyFont="1" applyFill="1" applyAlignment="1" applyProtection="1">
      <alignment horizontal="center" vertical="center" wrapText="1"/>
      <protection hidden="1"/>
    </xf>
    <xf numFmtId="0" fontId="47" fillId="10" borderId="16" xfId="0" applyFont="1" applyFill="1" applyBorder="1" applyAlignment="1" applyProtection="1">
      <alignment horizontal="center" vertical="center" wrapText="1"/>
      <protection hidden="1"/>
    </xf>
    <xf numFmtId="0" fontId="34" fillId="10" borderId="17" xfId="3" applyFont="1" applyFill="1" applyBorder="1" applyAlignment="1" applyProtection="1">
      <alignment horizontal="center" vertical="center" wrapText="1"/>
      <protection hidden="1"/>
    </xf>
    <xf numFmtId="3" fontId="34" fillId="5" borderId="33" xfId="3" applyNumberFormat="1" applyFont="1" applyFill="1" applyBorder="1" applyAlignment="1" applyProtection="1">
      <alignment horizontal="centerContinuous" vertical="center" wrapText="1"/>
      <protection hidden="1"/>
    </xf>
    <xf numFmtId="0" fontId="29" fillId="13" borderId="33" xfId="0" applyFont="1" applyFill="1" applyBorder="1" applyAlignment="1" applyProtection="1">
      <alignment horizontal="center" vertical="center"/>
      <protection hidden="1"/>
    </xf>
    <xf numFmtId="0" fontId="30" fillId="21" borderId="33" xfId="0" applyFont="1" applyFill="1" applyBorder="1" applyAlignment="1" applyProtection="1">
      <alignment vertical="center" wrapText="1"/>
      <protection hidden="1"/>
    </xf>
    <xf numFmtId="0" fontId="34" fillId="13" borderId="35" xfId="0" applyFont="1" applyFill="1" applyBorder="1" applyAlignment="1" applyProtection="1">
      <alignment horizontal="center" vertical="center"/>
      <protection locked="0" hidden="1"/>
    </xf>
    <xf numFmtId="0" fontId="44" fillId="21" borderId="33" xfId="0" applyFont="1" applyFill="1" applyBorder="1" applyAlignment="1" applyProtection="1">
      <alignment horizontal="center" vertical="center" wrapText="1"/>
      <protection hidden="1"/>
    </xf>
    <xf numFmtId="3" fontId="35" fillId="20" borderId="17" xfId="0" applyNumberFormat="1" applyFont="1" applyFill="1" applyBorder="1" applyAlignment="1" applyProtection="1">
      <alignment horizontal="centerContinuous" vertical="center"/>
      <protection locked="0" hidden="1"/>
    </xf>
    <xf numFmtId="3" fontId="35" fillId="20" borderId="18" xfId="0" applyNumberFormat="1" applyFont="1" applyFill="1" applyBorder="1" applyAlignment="1" applyProtection="1">
      <alignment horizontal="centerContinuous" vertical="center"/>
      <protection locked="0" hidden="1"/>
    </xf>
    <xf numFmtId="3" fontId="35" fillId="20" borderId="25" xfId="0" applyNumberFormat="1" applyFont="1" applyFill="1" applyBorder="1" applyAlignment="1" applyProtection="1">
      <alignment horizontal="centerContinuous" vertical="center"/>
      <protection locked="0" hidden="1"/>
    </xf>
    <xf numFmtId="0" fontId="50" fillId="35" borderId="16" xfId="0" applyFont="1" applyFill="1" applyBorder="1" applyAlignment="1" applyProtection="1">
      <alignment horizontal="center" vertical="center" wrapText="1"/>
      <protection locked="0"/>
    </xf>
    <xf numFmtId="3" fontId="34" fillId="5" borderId="31" xfId="3" applyNumberFormat="1" applyFont="1" applyFill="1" applyBorder="1" applyAlignment="1" applyProtection="1">
      <alignment horizontal="left" vertical="center" wrapText="1"/>
      <protection hidden="1"/>
    </xf>
    <xf numFmtId="3" fontId="34" fillId="5" borderId="25" xfId="3" applyNumberFormat="1" applyFont="1" applyFill="1" applyBorder="1" applyAlignment="1" applyProtection="1">
      <alignment horizontal="center" vertical="center" wrapText="1"/>
      <protection hidden="1"/>
    </xf>
    <xf numFmtId="0" fontId="34" fillId="3" borderId="13" xfId="0" applyFont="1" applyFill="1" applyBorder="1" applyAlignment="1" applyProtection="1">
      <alignment horizontal="center" vertical="center" wrapText="1"/>
      <protection hidden="1"/>
    </xf>
    <xf numFmtId="0" fontId="34" fillId="3" borderId="5" xfId="0" applyFont="1" applyFill="1" applyBorder="1" applyAlignment="1">
      <alignment horizontal="center" vertical="center" wrapText="1"/>
    </xf>
    <xf numFmtId="0" fontId="19" fillId="0" borderId="0" xfId="0" applyFont="1" applyAlignment="1" applyProtection="1">
      <alignment horizontal="center" vertical="center"/>
      <protection hidden="1"/>
    </xf>
    <xf numFmtId="0" fontId="47" fillId="10" borderId="31" xfId="0" applyFont="1" applyFill="1" applyBorder="1" applyAlignment="1" applyProtection="1">
      <alignment horizontal="center" vertical="center" wrapText="1"/>
      <protection hidden="1"/>
    </xf>
    <xf numFmtId="0" fontId="47" fillId="10" borderId="33" xfId="0" applyFont="1" applyFill="1" applyBorder="1" applyAlignment="1" applyProtection="1">
      <alignment horizontal="center" vertical="center" wrapText="1"/>
      <protection hidden="1"/>
    </xf>
    <xf numFmtId="3" fontId="50" fillId="10" borderId="31" xfId="0" applyNumberFormat="1" applyFont="1" applyFill="1" applyBorder="1" applyAlignment="1" applyProtection="1">
      <alignment horizontal="center" vertical="center"/>
      <protection hidden="1"/>
    </xf>
    <xf numFmtId="0" fontId="34" fillId="2" borderId="63" xfId="0" applyFont="1" applyFill="1" applyBorder="1" applyAlignment="1">
      <alignment horizontal="left" vertical="center" wrapText="1"/>
    </xf>
    <xf numFmtId="0" fontId="14" fillId="0" borderId="1"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hidden="1"/>
    </xf>
    <xf numFmtId="0" fontId="11" fillId="0" borderId="3" xfId="0" applyFont="1" applyBorder="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8" fillId="18" borderId="64" xfId="0" applyFont="1" applyFill="1" applyBorder="1" applyAlignment="1">
      <alignment horizontal="left" vertical="center"/>
    </xf>
    <xf numFmtId="173" fontId="47" fillId="0" borderId="16" xfId="0" applyNumberFormat="1" applyFont="1" applyBorder="1" applyAlignment="1" applyProtection="1">
      <alignment horizontal="center" vertical="center"/>
      <protection locked="0"/>
    </xf>
    <xf numFmtId="0" fontId="14" fillId="0" borderId="8" xfId="0" applyFont="1" applyBorder="1" applyProtection="1">
      <protection locked="0"/>
    </xf>
    <xf numFmtId="0" fontId="14" fillId="0" borderId="0" xfId="0" applyFont="1" applyProtection="1">
      <protection locked="0"/>
    </xf>
    <xf numFmtId="0" fontId="14" fillId="0" borderId="12" xfId="0" applyFont="1" applyBorder="1" applyProtection="1">
      <protection locked="0"/>
    </xf>
    <xf numFmtId="0" fontId="14" fillId="0" borderId="9" xfId="0" applyFont="1" applyBorder="1" applyProtection="1">
      <protection locked="0"/>
    </xf>
    <xf numFmtId="0" fontId="14" fillId="0" borderId="11" xfId="0" applyFont="1" applyBorder="1" applyProtection="1">
      <protection locked="0"/>
    </xf>
    <xf numFmtId="0" fontId="14" fillId="0" borderId="10" xfId="0" applyFont="1" applyBorder="1" applyProtection="1">
      <protection locked="0"/>
    </xf>
    <xf numFmtId="0" fontId="51" fillId="0" borderId="31" xfId="2" applyFont="1" applyBorder="1" applyAlignment="1" applyProtection="1">
      <alignment horizontal="center" vertical="center"/>
      <protection locked="0"/>
    </xf>
    <xf numFmtId="0" fontId="1" fillId="19" borderId="16" xfId="0" applyFont="1" applyFill="1" applyBorder="1" applyAlignment="1">
      <alignment vertical="center" wrapText="1"/>
    </xf>
    <xf numFmtId="174" fontId="47" fillId="10" borderId="33" xfId="0" applyNumberFormat="1" applyFont="1" applyFill="1" applyBorder="1" applyAlignment="1" applyProtection="1">
      <alignment horizontal="center" vertical="center"/>
      <protection hidden="1"/>
    </xf>
    <xf numFmtId="174" fontId="47" fillId="10" borderId="32" xfId="0" applyNumberFormat="1" applyFont="1" applyFill="1" applyBorder="1" applyAlignment="1" applyProtection="1">
      <alignment horizontal="center" vertical="center"/>
      <protection hidden="1"/>
    </xf>
    <xf numFmtId="0" fontId="55" fillId="0" borderId="0" xfId="0" applyFont="1" applyAlignment="1" applyProtection="1">
      <alignment horizontal="center" vertical="center" wrapText="1"/>
      <protection hidden="1"/>
    </xf>
    <xf numFmtId="49" fontId="56" fillId="0" borderId="0" xfId="0" applyNumberFormat="1" applyFont="1" applyAlignment="1" applyProtection="1">
      <alignment horizontal="center" vertical="center" wrapText="1"/>
      <protection hidden="1"/>
    </xf>
    <xf numFmtId="0" fontId="56" fillId="0" borderId="0" xfId="0" applyFont="1" applyAlignment="1" applyProtection="1">
      <alignment horizontal="center" vertical="center" wrapText="1"/>
      <protection hidden="1"/>
    </xf>
    <xf numFmtId="3" fontId="57" fillId="0" borderId="39" xfId="1" applyNumberFormat="1" applyFont="1" applyFill="1" applyBorder="1" applyAlignment="1" applyProtection="1">
      <alignment vertical="center"/>
      <protection hidden="1"/>
    </xf>
    <xf numFmtId="0" fontId="55" fillId="0" borderId="41" xfId="0" applyFont="1" applyBorder="1" applyAlignment="1" applyProtection="1">
      <alignment horizontal="center" vertical="center" wrapText="1"/>
      <protection hidden="1"/>
    </xf>
    <xf numFmtId="49" fontId="56" fillId="0" borderId="41" xfId="0" quotePrefix="1" applyNumberFormat="1" applyFont="1" applyBorder="1" applyAlignment="1" applyProtection="1">
      <alignment horizontal="center" vertical="center" wrapText="1"/>
      <protection hidden="1"/>
    </xf>
    <xf numFmtId="49" fontId="56" fillId="0" borderId="0" xfId="0" applyNumberFormat="1" applyFont="1" applyAlignment="1" applyProtection="1">
      <alignment horizontal="center" vertical="center"/>
      <protection hidden="1"/>
    </xf>
    <xf numFmtId="0" fontId="56" fillId="0" borderId="0" xfId="0" applyFont="1" applyAlignment="1" applyProtection="1">
      <alignment horizontal="center" vertical="center"/>
      <protection hidden="1"/>
    </xf>
    <xf numFmtId="0" fontId="55" fillId="0" borderId="0" xfId="0" applyFont="1" applyAlignment="1">
      <alignment horizontal="center" vertical="center" wrapText="1"/>
    </xf>
    <xf numFmtId="49" fontId="56" fillId="0" borderId="0" xfId="0" applyNumberFormat="1" applyFont="1" applyAlignment="1">
      <alignment horizontal="center" vertical="center"/>
    </xf>
    <xf numFmtId="0" fontId="56" fillId="0" borderId="0" xfId="0" applyFont="1" applyAlignment="1">
      <alignment horizontal="center" vertical="center"/>
    </xf>
    <xf numFmtId="0" fontId="58" fillId="0" borderId="0" xfId="0" applyFont="1" applyAlignment="1">
      <alignment horizontal="center" vertical="center" wrapText="1"/>
    </xf>
    <xf numFmtId="0" fontId="59" fillId="0" borderId="0" xfId="0" applyFont="1" applyAlignment="1">
      <alignment vertical="center"/>
    </xf>
    <xf numFmtId="0" fontId="56" fillId="0" borderId="0" xfId="0" applyFont="1" applyAlignment="1">
      <alignment vertical="center"/>
    </xf>
    <xf numFmtId="0" fontId="58" fillId="0" borderId="0" xfId="0" applyFont="1" applyAlignment="1">
      <alignment horizontal="left" vertical="center" wrapText="1"/>
    </xf>
    <xf numFmtId="0" fontId="59" fillId="0" borderId="0" xfId="0" applyFont="1" applyAlignment="1">
      <alignment horizontal="center" vertical="center"/>
    </xf>
    <xf numFmtId="0" fontId="56" fillId="0" borderId="0" xfId="0" applyFont="1" applyAlignment="1">
      <alignment horizontal="center"/>
    </xf>
    <xf numFmtId="168" fontId="56" fillId="0" borderId="0" xfId="0" applyNumberFormat="1" applyFont="1" applyAlignment="1">
      <alignment horizontal="center" vertical="center"/>
    </xf>
    <xf numFmtId="0" fontId="59" fillId="0" borderId="0" xfId="0" applyFont="1" applyAlignment="1">
      <alignment horizontal="center" vertical="center" wrapText="1"/>
    </xf>
    <xf numFmtId="0" fontId="56" fillId="0" borderId="0" xfId="0" applyFont="1" applyAlignment="1">
      <alignment horizontal="center" vertical="center" wrapText="1"/>
    </xf>
    <xf numFmtId="49" fontId="56" fillId="0" borderId="0" xfId="0" applyNumberFormat="1" applyFont="1" applyAlignment="1">
      <alignment horizontal="left" vertical="center"/>
    </xf>
    <xf numFmtId="0" fontId="54" fillId="0" borderId="0" xfId="0" applyFont="1" applyAlignment="1">
      <alignment horizontal="center" vertical="center"/>
    </xf>
    <xf numFmtId="170" fontId="58" fillId="0" borderId="0" xfId="0" applyNumberFormat="1" applyFont="1" applyAlignment="1">
      <alignment horizontal="left" vertical="center" wrapText="1"/>
    </xf>
    <xf numFmtId="10" fontId="58" fillId="0" borderId="0" xfId="1" applyNumberFormat="1" applyFont="1" applyFill="1" applyBorder="1" applyAlignment="1">
      <alignment horizontal="center" vertical="center"/>
    </xf>
    <xf numFmtId="0" fontId="54" fillId="0" borderId="0" xfId="0" applyFont="1" applyAlignment="1">
      <alignment vertical="center"/>
    </xf>
    <xf numFmtId="3" fontId="54" fillId="0" borderId="0" xfId="0" applyNumberFormat="1" applyFont="1" applyAlignment="1" applyProtection="1">
      <alignment horizontal="center" vertical="center"/>
      <protection locked="0"/>
    </xf>
    <xf numFmtId="1" fontId="56" fillId="0" borderId="0" xfId="0" applyNumberFormat="1" applyFont="1" applyAlignment="1">
      <alignment horizontal="center" vertical="center"/>
    </xf>
    <xf numFmtId="0" fontId="53" fillId="0" borderId="0" xfId="0" applyFont="1" applyAlignment="1">
      <alignment horizontal="center" vertical="center"/>
    </xf>
    <xf numFmtId="0" fontId="58" fillId="0" borderId="0" xfId="0" applyFont="1" applyAlignment="1">
      <alignment vertical="center" wrapText="1"/>
    </xf>
    <xf numFmtId="0" fontId="54" fillId="0" borderId="0" xfId="0" applyFont="1" applyAlignment="1">
      <alignment horizontal="left" vertical="center"/>
    </xf>
    <xf numFmtId="0" fontId="58" fillId="0" borderId="0" xfId="0" applyFont="1" applyAlignment="1">
      <alignment vertical="center"/>
    </xf>
    <xf numFmtId="0" fontId="60" fillId="0" borderId="0" xfId="0" applyFont="1" applyAlignment="1">
      <alignment vertical="center"/>
    </xf>
    <xf numFmtId="0" fontId="54" fillId="0" borderId="0" xfId="0" applyFont="1" applyAlignment="1">
      <alignment horizontal="left" vertical="center" wrapText="1"/>
    </xf>
    <xf numFmtId="0" fontId="61" fillId="0" borderId="0" xfId="0" applyFont="1" applyAlignment="1">
      <alignment horizontal="center" vertical="center"/>
    </xf>
    <xf numFmtId="0" fontId="56" fillId="0" borderId="0" xfId="0" applyFont="1" applyAlignment="1">
      <alignment horizontal="left" vertical="center"/>
    </xf>
    <xf numFmtId="0" fontId="59" fillId="0" borderId="0" xfId="0" applyFont="1" applyAlignment="1">
      <alignment horizontal="left" vertical="center"/>
    </xf>
    <xf numFmtId="49" fontId="59" fillId="0" borderId="0" xfId="0" applyNumberFormat="1" applyFont="1" applyAlignment="1">
      <alignment horizontal="center" vertical="center"/>
    </xf>
    <xf numFmtId="49" fontId="56" fillId="0" borderId="0" xfId="0" quotePrefix="1" applyNumberFormat="1" applyFont="1" applyAlignment="1" applyProtection="1">
      <alignment horizontal="center" vertical="center" wrapText="1"/>
      <protection hidden="1"/>
    </xf>
    <xf numFmtId="0" fontId="62" fillId="0" borderId="0" xfId="0" applyFont="1"/>
    <xf numFmtId="0" fontId="63" fillId="0" borderId="0" xfId="0" applyFont="1" applyAlignment="1">
      <alignment horizontal="center" vertical="center"/>
    </xf>
    <xf numFmtId="0" fontId="63" fillId="0" borderId="0" xfId="0" applyFont="1"/>
    <xf numFmtId="0" fontId="58" fillId="0" borderId="0" xfId="0" applyFont="1" applyAlignment="1">
      <alignment horizontal="center" wrapText="1"/>
    </xf>
    <xf numFmtId="1" fontId="59" fillId="0" borderId="0" xfId="0" applyNumberFormat="1" applyFont="1" applyAlignment="1">
      <alignment horizontal="center" vertical="center"/>
    </xf>
    <xf numFmtId="1" fontId="58" fillId="0" borderId="0" xfId="0" applyNumberFormat="1" applyFont="1" applyAlignment="1">
      <alignment horizontal="center" vertical="center" wrapText="1"/>
    </xf>
    <xf numFmtId="0" fontId="59" fillId="0" borderId="0" xfId="3" applyFont="1" applyAlignment="1">
      <alignment horizontal="center" vertical="center"/>
    </xf>
    <xf numFmtId="3" fontId="56" fillId="0" borderId="0" xfId="0" applyNumberFormat="1" applyFont="1" applyAlignment="1">
      <alignment horizontal="center" vertical="center"/>
    </xf>
    <xf numFmtId="0" fontId="56" fillId="0" borderId="0" xfId="3" applyFont="1" applyAlignment="1">
      <alignment horizontal="center" vertical="center"/>
    </xf>
    <xf numFmtId="49" fontId="56" fillId="0" borderId="0" xfId="0" quotePrefix="1" applyNumberFormat="1" applyFont="1" applyAlignment="1">
      <alignment horizontal="center" vertical="center"/>
    </xf>
    <xf numFmtId="0" fontId="53" fillId="0" borderId="0" xfId="0" applyFont="1" applyAlignment="1">
      <alignment horizontal="center" vertical="center" wrapText="1"/>
    </xf>
    <xf numFmtId="0" fontId="54" fillId="0" borderId="0" xfId="3" applyFont="1" applyAlignment="1" applyProtection="1">
      <alignment horizontal="center" vertical="center" wrapText="1"/>
      <protection hidden="1"/>
    </xf>
    <xf numFmtId="0" fontId="59" fillId="0" borderId="0" xfId="0" applyFont="1"/>
    <xf numFmtId="0" fontId="15" fillId="0" borderId="4" xfId="0" applyFont="1" applyBorder="1" applyAlignment="1" applyProtection="1">
      <alignment horizontal="center" vertical="center" wrapText="1"/>
      <protection hidden="1"/>
    </xf>
    <xf numFmtId="0" fontId="15" fillId="0" borderId="7" xfId="0" applyFont="1" applyBorder="1" applyAlignment="1" applyProtection="1">
      <alignment horizontal="center" vertical="center" wrapText="1"/>
      <protection hidden="1"/>
    </xf>
    <xf numFmtId="0" fontId="15" fillId="0" borderId="5" xfId="0" applyFont="1" applyBorder="1" applyAlignment="1" applyProtection="1">
      <alignment horizontal="center" vertical="center" wrapText="1"/>
      <protection hidden="1"/>
    </xf>
    <xf numFmtId="0" fontId="15" fillId="0" borderId="1" xfId="0" applyFont="1" applyBorder="1" applyAlignment="1" applyProtection="1">
      <alignment horizontal="left" vertical="center" wrapText="1"/>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center"/>
      <protection locked="0"/>
    </xf>
    <xf numFmtId="0" fontId="14" fillId="0" borderId="15"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0" xfId="0" applyFont="1" applyBorder="1" applyAlignment="1">
      <alignment horizontal="center" vertical="center" shrinkToFit="1"/>
    </xf>
    <xf numFmtId="0" fontId="15" fillId="0" borderId="4"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4"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5" fillId="0" borderId="0" xfId="0" applyFont="1" applyAlignment="1">
      <alignment horizontal="center" vertical="center"/>
    </xf>
    <xf numFmtId="0" fontId="15" fillId="0" borderId="13"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4" fillId="0" borderId="8" xfId="0" applyFont="1" applyBorder="1" applyAlignment="1" applyProtection="1">
      <alignment horizontal="left" vertical="center" wrapText="1" indent="1"/>
      <protection locked="0"/>
    </xf>
    <xf numFmtId="0" fontId="14" fillId="0" borderId="0" xfId="0" applyFont="1" applyAlignment="1" applyProtection="1">
      <alignment horizontal="left" vertical="center" wrapText="1" indent="1"/>
      <protection locked="0"/>
    </xf>
    <xf numFmtId="0" fontId="14" fillId="0" borderId="12" xfId="0" applyFont="1" applyBorder="1" applyAlignment="1" applyProtection="1">
      <alignment horizontal="left" vertical="center" wrapText="1" indent="1"/>
      <protection locked="0"/>
    </xf>
    <xf numFmtId="0" fontId="14" fillId="0" borderId="8"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6" fillId="0" borderId="8"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4" fillId="0" borderId="13" xfId="0" applyFont="1" applyBorder="1" applyAlignment="1" applyProtection="1">
      <alignment horizontal="center"/>
      <protection locked="0"/>
    </xf>
    <xf numFmtId="0" fontId="14" fillId="0" borderId="14"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14" fillId="0" borderId="12" xfId="0" applyFont="1" applyBorder="1" applyAlignment="1" applyProtection="1">
      <alignment horizontal="center"/>
      <protection locked="0"/>
    </xf>
    <xf numFmtId="0" fontId="13" fillId="0" borderId="0" xfId="0" applyFont="1" applyAlignment="1" applyProtection="1">
      <alignment horizontal="center" vertical="center" wrapText="1"/>
      <protection hidden="1"/>
    </xf>
    <xf numFmtId="0" fontId="11" fillId="7" borderId="3" xfId="0" applyFont="1" applyFill="1" applyBorder="1" applyAlignment="1" applyProtection="1">
      <alignment horizontal="center" vertical="center"/>
      <protection hidden="1"/>
    </xf>
    <xf numFmtId="0" fontId="17" fillId="0" borderId="21" xfId="0" applyFont="1" applyBorder="1" applyAlignment="1" applyProtection="1">
      <alignment horizontal="center" vertical="center" wrapText="1"/>
      <protection hidden="1"/>
    </xf>
    <xf numFmtId="0" fontId="17" fillId="0" borderId="22" xfId="0" applyFont="1" applyBorder="1" applyAlignment="1" applyProtection="1">
      <alignment horizontal="center" vertical="center" wrapText="1"/>
      <protection hidden="1"/>
    </xf>
    <xf numFmtId="0" fontId="17" fillId="0" borderId="23" xfId="0" applyFont="1" applyBorder="1" applyAlignment="1" applyProtection="1">
      <alignment horizontal="center" vertical="center" wrapText="1"/>
      <protection hidden="1"/>
    </xf>
    <xf numFmtId="10" fontId="12" fillId="0" borderId="21" xfId="1" applyNumberFormat="1" applyFont="1" applyBorder="1" applyAlignment="1" applyProtection="1">
      <alignment horizontal="center" vertical="center"/>
      <protection hidden="1"/>
    </xf>
    <xf numFmtId="10" fontId="12" fillId="0" borderId="22" xfId="1" applyNumberFormat="1" applyFont="1" applyBorder="1" applyAlignment="1" applyProtection="1">
      <alignment horizontal="center" vertical="center"/>
      <protection hidden="1"/>
    </xf>
    <xf numFmtId="10" fontId="12" fillId="0" borderId="22" xfId="1" applyNumberFormat="1" applyFont="1" applyBorder="1" applyAlignment="1" applyProtection="1">
      <alignment horizontal="center" vertical="center"/>
    </xf>
    <xf numFmtId="10" fontId="12" fillId="0" borderId="23" xfId="1" applyNumberFormat="1" applyFont="1" applyBorder="1" applyAlignment="1" applyProtection="1">
      <alignment horizontal="center" vertical="center"/>
      <protection hidden="1"/>
    </xf>
    <xf numFmtId="3" fontId="34" fillId="2" borderId="2" xfId="0" applyNumberFormat="1" applyFont="1" applyFill="1" applyBorder="1" applyAlignment="1" applyProtection="1">
      <alignment horizontal="center" vertical="center" wrapText="1"/>
      <protection hidden="1"/>
    </xf>
    <xf numFmtId="3" fontId="34" fillId="2" borderId="6" xfId="0" applyNumberFormat="1" applyFont="1" applyFill="1" applyBorder="1" applyAlignment="1" applyProtection="1">
      <alignment horizontal="center" vertical="center" wrapText="1"/>
      <protection hidden="1"/>
    </xf>
    <xf numFmtId="3" fontId="34" fillId="2" borderId="3" xfId="0" applyNumberFormat="1" applyFont="1" applyFill="1" applyBorder="1" applyAlignment="1" applyProtection="1">
      <alignment horizontal="center" vertical="center" wrapText="1"/>
      <protection hidden="1"/>
    </xf>
    <xf numFmtId="3" fontId="34" fillId="2" borderId="13" xfId="0" applyNumberFormat="1" applyFont="1" applyFill="1" applyBorder="1" applyAlignment="1" applyProtection="1">
      <alignment horizontal="center" vertical="center" wrapText="1"/>
      <protection hidden="1"/>
    </xf>
    <xf numFmtId="3" fontId="34" fillId="2" borderId="8" xfId="0" applyNumberFormat="1" applyFont="1" applyFill="1" applyBorder="1" applyAlignment="1" applyProtection="1">
      <alignment horizontal="center" vertical="center" wrapText="1"/>
      <protection hidden="1"/>
    </xf>
    <xf numFmtId="3" fontId="34" fillId="2" borderId="9" xfId="0" applyNumberFormat="1" applyFont="1" applyFill="1" applyBorder="1" applyAlignment="1" applyProtection="1">
      <alignment horizontal="center" vertical="center" wrapText="1"/>
      <protection hidden="1"/>
    </xf>
    <xf numFmtId="0" fontId="23" fillId="0" borderId="17" xfId="5" applyFont="1" applyBorder="1" applyAlignment="1">
      <alignment horizontal="center" vertical="center"/>
    </xf>
    <xf numFmtId="0" fontId="24" fillId="0" borderId="25" xfId="5" applyFont="1" applyBorder="1" applyAlignment="1">
      <alignment horizontal="center"/>
    </xf>
    <xf numFmtId="0" fontId="44" fillId="0" borderId="0" xfId="5" applyFont="1" applyAlignment="1" applyProtection="1">
      <alignment horizontal="center" vertical="center" wrapText="1"/>
      <protection hidden="1"/>
    </xf>
    <xf numFmtId="0" fontId="23" fillId="0" borderId="17" xfId="5" applyFont="1" applyBorder="1" applyAlignment="1">
      <alignment horizontal="center" vertical="center" wrapText="1"/>
    </xf>
    <xf numFmtId="0" fontId="24" fillId="0" borderId="25" xfId="5" applyFont="1" applyBorder="1" applyAlignment="1">
      <alignment horizontal="center" wrapText="1"/>
    </xf>
    <xf numFmtId="0" fontId="41" fillId="44" borderId="31" xfId="5" applyFont="1" applyFill="1" applyBorder="1" applyAlignment="1">
      <alignment horizontal="center" vertical="center" wrapText="1"/>
    </xf>
    <xf numFmtId="0" fontId="41" fillId="44" borderId="33" xfId="5" applyFont="1" applyFill="1" applyBorder="1" applyAlignment="1">
      <alignment horizontal="center" vertical="center" wrapText="1"/>
    </xf>
    <xf numFmtId="0" fontId="41" fillId="44" borderId="31" xfId="5" applyFont="1" applyFill="1" applyBorder="1" applyAlignment="1" applyProtection="1">
      <alignment horizontal="center" vertical="center" wrapText="1"/>
      <protection hidden="1"/>
    </xf>
    <xf numFmtId="0" fontId="41" fillId="44" borderId="33" xfId="5" applyFont="1" applyFill="1" applyBorder="1" applyAlignment="1" applyProtection="1">
      <alignment horizontal="center" vertical="center" wrapText="1"/>
      <protection hidden="1"/>
    </xf>
    <xf numFmtId="0" fontId="41" fillId="45" borderId="31" xfId="5" applyFont="1" applyFill="1" applyBorder="1" applyAlignment="1" applyProtection="1">
      <alignment horizontal="center" vertical="center" wrapText="1"/>
      <protection hidden="1"/>
    </xf>
    <xf numFmtId="0" fontId="41" fillId="45" borderId="33" xfId="5" applyFont="1" applyFill="1" applyBorder="1" applyAlignment="1" applyProtection="1">
      <alignment horizontal="center" vertical="center" wrapText="1"/>
      <protection hidden="1"/>
    </xf>
    <xf numFmtId="0" fontId="42" fillId="45" borderId="16" xfId="5" applyFont="1" applyFill="1" applyBorder="1" applyAlignment="1">
      <alignment horizontal="center" vertical="center" wrapText="1"/>
    </xf>
    <xf numFmtId="0" fontId="41" fillId="44" borderId="27" xfId="5" applyFont="1" applyFill="1" applyBorder="1" applyAlignment="1">
      <alignment horizontal="center" vertical="center" wrapText="1"/>
    </xf>
    <xf numFmtId="0" fontId="41" fillId="44" borderId="28" xfId="5" applyFont="1" applyFill="1" applyBorder="1" applyAlignment="1">
      <alignment horizontal="center" vertical="center" wrapText="1"/>
    </xf>
    <xf numFmtId="0" fontId="41" fillId="44" borderId="34" xfId="5" applyFont="1" applyFill="1" applyBorder="1" applyAlignment="1">
      <alignment horizontal="center" vertical="center" wrapText="1"/>
    </xf>
    <xf numFmtId="0" fontId="41" fillId="44" borderId="30" xfId="5" applyFont="1" applyFill="1" applyBorder="1" applyAlignment="1">
      <alignment horizontal="center" vertical="center" wrapText="1"/>
    </xf>
    <xf numFmtId="0" fontId="24" fillId="0" borderId="25" xfId="5" applyFont="1" applyBorder="1" applyAlignment="1">
      <alignment wrapText="1"/>
    </xf>
  </cellXfs>
  <cellStyles count="7">
    <cellStyle name="Hyperlink" xfId="2" builtinId="8"/>
    <cellStyle name="Normal" xfId="0" builtinId="0"/>
    <cellStyle name="Normal 2" xfId="3" xr:uid="{00000000-0005-0000-0000-000002000000}"/>
    <cellStyle name="Normal 3" xfId="4" xr:uid="{00000000-0005-0000-0000-000003000000}"/>
    <cellStyle name="Normal 4" xfId="5" xr:uid="{00000000-0005-0000-0000-000004000000}"/>
    <cellStyle name="Percent" xfId="1" builtinId="5"/>
    <cellStyle name="Percent 2" xfId="6" xr:uid="{00000000-0005-0000-0000-000006000000}"/>
  </cellStyles>
  <dxfs count="61">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92D05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92D05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92D05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92D050"/>
          </stop>
        </gradientFill>
      </fill>
    </dxf>
    <dxf>
      <fill>
        <gradientFill type="path" left="0.5" right="0.5" top="0.5" bottom="0.5">
          <stop position="0">
            <color theme="0"/>
          </stop>
          <stop position="1">
            <color rgb="FF92D05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92D050"/>
          </stop>
        </gradientFill>
      </fill>
    </dxf>
    <dxf>
      <fill>
        <gradientFill type="path" left="0.5" right="0.5" top="0.5" bottom="0.5">
          <stop position="0">
            <color theme="0"/>
          </stop>
          <stop position="1">
            <color rgb="FFFF0000"/>
          </stop>
        </gradientFill>
      </fill>
    </dxf>
  </dxfs>
  <tableStyles count="0" defaultTableStyle="TableStyleMedium9"/>
  <colors>
    <mruColors>
      <color rgb="FF98D98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11206</xdr:colOff>
      <xdr:row>1</xdr:row>
      <xdr:rowOff>20731</xdr:rowOff>
    </xdr:from>
    <xdr:to>
      <xdr:col>5</xdr:col>
      <xdr:colOff>3048000</xdr:colOff>
      <xdr:row>1</xdr:row>
      <xdr:rowOff>254000</xdr:rowOff>
    </xdr:to>
    <xdr:sp macro="" textlink="">
      <xdr:nvSpPr>
        <xdr:cNvPr id="3" name="Rectangle 2">
          <a:extLst>
            <a:ext uri="{FF2B5EF4-FFF2-40B4-BE49-F238E27FC236}">
              <a16:creationId xmlns:a16="http://schemas.microsoft.com/office/drawing/2014/main" id="{BD6ACBAA-A22D-4237-A813-53F484F25128}"/>
            </a:ext>
          </a:extLst>
        </xdr:cNvPr>
        <xdr:cNvSpPr/>
      </xdr:nvSpPr>
      <xdr:spPr>
        <a:xfrm>
          <a:off x="544606" y="597674"/>
          <a:ext cx="11745365" cy="2332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Progress Pengisian Kuesioner Indeks</a:t>
          </a:r>
          <a:r>
            <a:rPr lang="en-US" sz="1100" baseline="0">
              <a:solidFill>
                <a:sysClr val="windowText" lastClr="000000"/>
              </a:solidFill>
            </a:rPr>
            <a:t> Desa </a:t>
          </a:r>
          <a:endParaRPr lang="en-US" sz="1100">
            <a:solidFill>
              <a:sysClr val="windowText" lastClr="000000"/>
            </a:solidFill>
          </a:endParaRPr>
        </a:p>
      </xdr:txBody>
    </xdr:sp>
    <xdr:clientData/>
  </xdr:twoCellAnchor>
  <xdr:twoCellAnchor>
    <xdr:from>
      <xdr:col>9</xdr:col>
      <xdr:colOff>11206</xdr:colOff>
      <xdr:row>0</xdr:row>
      <xdr:rowOff>11204</xdr:rowOff>
    </xdr:from>
    <xdr:to>
      <xdr:col>10</xdr:col>
      <xdr:colOff>0</xdr:colOff>
      <xdr:row>0</xdr:row>
      <xdr:rowOff>546099</xdr:rowOff>
    </xdr:to>
    <xdr:sp macro="" textlink="">
      <xdr:nvSpPr>
        <xdr:cNvPr id="4" name="Rectangle 3">
          <a:extLst>
            <a:ext uri="{FF2B5EF4-FFF2-40B4-BE49-F238E27FC236}">
              <a16:creationId xmlns:a16="http://schemas.microsoft.com/office/drawing/2014/main" id="{5DD6252D-B023-41F5-839F-79ECD0BFC216}"/>
            </a:ext>
          </a:extLst>
        </xdr:cNvPr>
        <xdr:cNvSpPr/>
      </xdr:nvSpPr>
      <xdr:spPr>
        <a:xfrm>
          <a:off x="20509006" y="11204"/>
          <a:ext cx="2706594" cy="534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id-ID" sz="1000" b="1">
              <a:solidFill>
                <a:sysClr val="windowText" lastClr="000000"/>
              </a:solidFill>
            </a:rPr>
            <a:t>BELUM TERISI &amp; CEK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11206</xdr:colOff>
      <xdr:row>1</xdr:row>
      <xdr:rowOff>20731</xdr:rowOff>
    </xdr:from>
    <xdr:to>
      <xdr:col>5</xdr:col>
      <xdr:colOff>3048000</xdr:colOff>
      <xdr:row>1</xdr:row>
      <xdr:rowOff>223520</xdr:rowOff>
    </xdr:to>
    <xdr:sp macro="" textlink="">
      <xdr:nvSpPr>
        <xdr:cNvPr id="2" name="Rectangle 1">
          <a:extLst>
            <a:ext uri="{FF2B5EF4-FFF2-40B4-BE49-F238E27FC236}">
              <a16:creationId xmlns:a16="http://schemas.microsoft.com/office/drawing/2014/main" id="{9C5A8A11-2D06-4336-AF43-EEBB4C2ADF78}"/>
            </a:ext>
          </a:extLst>
        </xdr:cNvPr>
        <xdr:cNvSpPr/>
      </xdr:nvSpPr>
      <xdr:spPr>
        <a:xfrm>
          <a:off x="544606" y="597674"/>
          <a:ext cx="11745365" cy="2027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Progress Pengisian Kuesioner </a:t>
          </a:r>
          <a:r>
            <a:rPr lang="id-ID" sz="1100">
              <a:solidFill>
                <a:sysClr val="windowText" lastClr="000000"/>
              </a:solidFill>
            </a:rPr>
            <a:t>Isu</a:t>
          </a:r>
          <a:r>
            <a:rPr lang="id-ID" sz="1100" baseline="0">
              <a:solidFill>
                <a:sysClr val="windowText" lastClr="000000"/>
              </a:solidFill>
            </a:rPr>
            <a:t> Desa dan Perdesaan</a:t>
          </a:r>
        </a:p>
        <a:p>
          <a:pPr algn="l"/>
          <a:endParaRPr lang="en-US" sz="1100">
            <a:solidFill>
              <a:sysClr val="windowText" lastClr="000000"/>
            </a:solidFill>
          </a:endParaRPr>
        </a:p>
      </xdr:txBody>
    </xdr:sp>
    <xdr:clientData/>
  </xdr:twoCellAnchor>
  <xdr:twoCellAnchor>
    <xdr:from>
      <xdr:col>9</xdr:col>
      <xdr:colOff>11206</xdr:colOff>
      <xdr:row>0</xdr:row>
      <xdr:rowOff>11204</xdr:rowOff>
    </xdr:from>
    <xdr:to>
      <xdr:col>10</xdr:col>
      <xdr:colOff>0</xdr:colOff>
      <xdr:row>0</xdr:row>
      <xdr:rowOff>546099</xdr:rowOff>
    </xdr:to>
    <xdr:sp macro="" textlink="">
      <xdr:nvSpPr>
        <xdr:cNvPr id="3" name="Rectangle 2">
          <a:extLst>
            <a:ext uri="{FF2B5EF4-FFF2-40B4-BE49-F238E27FC236}">
              <a16:creationId xmlns:a16="http://schemas.microsoft.com/office/drawing/2014/main" id="{74CEE9F2-ED6A-4A9A-873F-F98A266FB9EE}"/>
            </a:ext>
          </a:extLst>
        </xdr:cNvPr>
        <xdr:cNvSpPr/>
      </xdr:nvSpPr>
      <xdr:spPr>
        <a:xfrm>
          <a:off x="16902206" y="11204"/>
          <a:ext cx="1423894" cy="534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id-ID" sz="1000" b="1">
              <a:solidFill>
                <a:sysClr val="windowText" lastClr="000000"/>
              </a:solidFill>
            </a:rPr>
            <a:t>BELUM TERISI &amp; CEK</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79998168889431442"/>
  </sheetPr>
  <dimension ref="A1:M36"/>
  <sheetViews>
    <sheetView showGridLines="0" topLeftCell="A18" workbookViewId="0">
      <selection activeCell="M33" sqref="M33"/>
    </sheetView>
  </sheetViews>
  <sheetFormatPr defaultColWidth="8.85546875" defaultRowHeight="15" x14ac:dyDescent="0.25"/>
  <cols>
    <col min="1" max="1" width="4.85546875" style="5" customWidth="1"/>
    <col min="2" max="2" width="35.7109375" style="5" customWidth="1"/>
    <col min="3" max="12" width="5.7109375" style="5" customWidth="1"/>
    <col min="13" max="13" width="8.85546875" style="5"/>
  </cols>
  <sheetData>
    <row r="1" spans="1:12" ht="20.85" customHeight="1" x14ac:dyDescent="0.25">
      <c r="B1" s="6" t="s">
        <v>0</v>
      </c>
      <c r="C1" s="896">
        <v>3</v>
      </c>
      <c r="D1" s="896">
        <v>3</v>
      </c>
      <c r="E1" s="896">
        <v>0</v>
      </c>
      <c r="F1" s="896">
        <v>8</v>
      </c>
      <c r="G1" s="896">
        <v>1</v>
      </c>
      <c r="H1" s="896">
        <v>2</v>
      </c>
      <c r="I1" s="896">
        <v>2</v>
      </c>
      <c r="J1" s="896">
        <v>0</v>
      </c>
      <c r="K1" s="896">
        <v>0</v>
      </c>
      <c r="L1" s="896">
        <v>1</v>
      </c>
    </row>
    <row r="2" spans="1:12" ht="20.85" customHeight="1" x14ac:dyDescent="0.25"/>
    <row r="3" spans="1:12" ht="20.85" customHeight="1" x14ac:dyDescent="0.25">
      <c r="A3" s="980" t="s">
        <v>934</v>
      </c>
      <c r="B3" s="980"/>
      <c r="C3" s="980"/>
      <c r="D3" s="980"/>
      <c r="E3" s="980"/>
      <c r="F3" s="980"/>
      <c r="G3" s="980"/>
      <c r="H3" s="980"/>
      <c r="I3" s="980"/>
      <c r="J3" s="980"/>
      <c r="K3" s="980"/>
      <c r="L3" s="980"/>
    </row>
    <row r="4" spans="1:12" ht="20.85" customHeight="1" x14ac:dyDescent="0.25">
      <c r="A4" s="980" t="s">
        <v>2581</v>
      </c>
      <c r="B4" s="980"/>
      <c r="C4" s="980"/>
      <c r="D4" s="980"/>
      <c r="E4" s="980"/>
      <c r="F4" s="980"/>
      <c r="G4" s="980"/>
      <c r="H4" s="980"/>
      <c r="I4" s="980"/>
      <c r="J4" s="980"/>
      <c r="K4" s="980"/>
      <c r="L4" s="980"/>
    </row>
    <row r="5" spans="1:12" ht="20.85" customHeight="1" x14ac:dyDescent="0.25"/>
    <row r="6" spans="1:12" ht="20.85" customHeight="1" x14ac:dyDescent="0.25">
      <c r="A6" s="981" t="s">
        <v>1</v>
      </c>
      <c r="B6" s="982"/>
      <c r="C6" s="982"/>
      <c r="D6" s="982"/>
      <c r="E6" s="982"/>
      <c r="F6" s="982"/>
      <c r="G6" s="982"/>
      <c r="H6" s="982"/>
      <c r="I6" s="982"/>
      <c r="J6" s="982"/>
      <c r="K6" s="982"/>
      <c r="L6" s="983"/>
    </row>
    <row r="7" spans="1:12" ht="70.900000000000006" customHeight="1" x14ac:dyDescent="0.25">
      <c r="A7" s="984" t="s">
        <v>2845</v>
      </c>
      <c r="B7" s="985"/>
      <c r="C7" s="985"/>
      <c r="D7" s="985"/>
      <c r="E7" s="985"/>
      <c r="F7" s="985"/>
      <c r="G7" s="985"/>
      <c r="H7" s="985"/>
      <c r="I7" s="985"/>
      <c r="J7" s="985"/>
      <c r="K7" s="985"/>
      <c r="L7" s="986"/>
    </row>
    <row r="8" spans="1:12" ht="46.15" customHeight="1" x14ac:dyDescent="0.25">
      <c r="A8" s="984" t="s">
        <v>2</v>
      </c>
      <c r="B8" s="985"/>
      <c r="C8" s="985"/>
      <c r="D8" s="985"/>
      <c r="E8" s="985"/>
      <c r="F8" s="985"/>
      <c r="G8" s="985"/>
      <c r="H8" s="985"/>
      <c r="I8" s="985"/>
      <c r="J8" s="985"/>
      <c r="K8" s="985"/>
      <c r="L8" s="986"/>
    </row>
    <row r="9" spans="1:12" ht="27.6" customHeight="1" x14ac:dyDescent="0.25">
      <c r="A9" s="987" t="s">
        <v>3</v>
      </c>
      <c r="B9" s="968"/>
      <c r="C9" s="968"/>
      <c r="D9" s="968"/>
      <c r="E9" s="968"/>
      <c r="F9" s="968"/>
      <c r="G9" s="968"/>
      <c r="H9" s="968"/>
      <c r="I9" s="968"/>
      <c r="J9" s="968"/>
      <c r="K9" s="968"/>
      <c r="L9" s="988"/>
    </row>
    <row r="10" spans="1:12" ht="32.450000000000003" customHeight="1" x14ac:dyDescent="0.25">
      <c r="A10" s="989" t="s">
        <v>4</v>
      </c>
      <c r="B10" s="990"/>
      <c r="C10" s="990"/>
      <c r="D10" s="990"/>
      <c r="E10" s="990"/>
      <c r="F10" s="990"/>
      <c r="G10" s="990"/>
      <c r="H10" s="990"/>
      <c r="I10" s="990"/>
      <c r="J10" s="990"/>
      <c r="K10" s="990"/>
      <c r="L10" s="991"/>
    </row>
    <row r="11" spans="1:12" ht="10.15" customHeight="1" x14ac:dyDescent="0.25">
      <c r="A11" s="903"/>
      <c r="B11" s="904"/>
      <c r="C11" s="904"/>
      <c r="D11" s="904"/>
      <c r="E11" s="904"/>
      <c r="F11" s="904"/>
      <c r="G11" s="904"/>
      <c r="H11" s="904"/>
      <c r="I11" s="904"/>
      <c r="J11" s="904"/>
      <c r="K11" s="904"/>
      <c r="L11" s="905"/>
    </row>
    <row r="12" spans="1:12" ht="20.85" customHeight="1" x14ac:dyDescent="0.25">
      <c r="A12" s="903"/>
      <c r="B12" s="992" t="s">
        <v>5</v>
      </c>
      <c r="C12" s="993"/>
      <c r="D12" s="993"/>
      <c r="E12" s="993"/>
      <c r="F12" s="993"/>
      <c r="G12" s="993"/>
      <c r="H12" s="993"/>
      <c r="I12" s="993"/>
      <c r="J12" s="993"/>
      <c r="K12" s="994"/>
      <c r="L12" s="905"/>
    </row>
    <row r="13" spans="1:12" ht="20.85" customHeight="1" x14ac:dyDescent="0.25">
      <c r="A13" s="903"/>
      <c r="B13" s="987" t="s">
        <v>6</v>
      </c>
      <c r="C13" s="968"/>
      <c r="D13" s="968"/>
      <c r="E13" s="968"/>
      <c r="F13" s="968"/>
      <c r="G13" s="968"/>
      <c r="H13" s="968"/>
      <c r="I13" s="968"/>
      <c r="J13" s="968"/>
      <c r="K13" s="988"/>
      <c r="L13" s="905"/>
    </row>
    <row r="14" spans="1:12" ht="20.85" customHeight="1" x14ac:dyDescent="0.25">
      <c r="A14" s="903"/>
      <c r="B14" s="903"/>
      <c r="C14" s="904"/>
      <c r="D14" s="904"/>
      <c r="E14" s="904"/>
      <c r="F14" s="904"/>
      <c r="G14" s="904"/>
      <c r="H14" s="904"/>
      <c r="I14" s="904"/>
      <c r="J14" s="904"/>
      <c r="K14" s="905"/>
      <c r="L14" s="905"/>
    </row>
    <row r="15" spans="1:12" ht="20.85" customHeight="1" x14ac:dyDescent="0.25">
      <c r="A15" s="903"/>
      <c r="B15" s="903"/>
      <c r="C15" s="904"/>
      <c r="D15" s="904"/>
      <c r="E15" s="904"/>
      <c r="F15" s="968" t="s">
        <v>7</v>
      </c>
      <c r="G15" s="968"/>
      <c r="H15" s="968"/>
      <c r="I15" s="968"/>
      <c r="J15" s="968"/>
      <c r="K15" s="988"/>
      <c r="L15" s="905"/>
    </row>
    <row r="16" spans="1:12" ht="20.85" customHeight="1" x14ac:dyDescent="0.25">
      <c r="A16" s="903"/>
      <c r="B16" s="903"/>
      <c r="C16" s="904"/>
      <c r="D16" s="904"/>
      <c r="E16" s="904"/>
      <c r="F16" s="904"/>
      <c r="G16" s="904"/>
      <c r="H16" s="904"/>
      <c r="I16" s="904"/>
      <c r="J16" s="904"/>
      <c r="K16" s="905"/>
      <c r="L16" s="905"/>
    </row>
    <row r="17" spans="1:12" ht="20.85" customHeight="1" x14ac:dyDescent="0.25">
      <c r="A17" s="903"/>
      <c r="B17" s="903"/>
      <c r="C17" s="904"/>
      <c r="D17" s="904"/>
      <c r="E17" s="904"/>
      <c r="F17" s="904"/>
      <c r="G17" s="904"/>
      <c r="H17" s="904"/>
      <c r="I17" s="904"/>
      <c r="J17" s="904"/>
      <c r="K17" s="905"/>
      <c r="L17" s="905"/>
    </row>
    <row r="18" spans="1:12" ht="20.85" customHeight="1" x14ac:dyDescent="0.25">
      <c r="A18" s="903"/>
      <c r="B18" s="903"/>
      <c r="C18" s="904"/>
      <c r="D18" s="904"/>
      <c r="E18" s="904"/>
      <c r="F18" s="904"/>
      <c r="G18" s="904"/>
      <c r="H18" s="904"/>
      <c r="I18" s="904"/>
      <c r="J18" s="904"/>
      <c r="K18" s="905"/>
      <c r="L18" s="905"/>
    </row>
    <row r="19" spans="1:12" ht="20.85" customHeight="1" x14ac:dyDescent="0.25">
      <c r="A19" s="903"/>
      <c r="B19" s="903"/>
      <c r="C19" s="904"/>
      <c r="D19" s="904"/>
      <c r="E19" s="904"/>
      <c r="F19" s="969" t="s">
        <v>2812</v>
      </c>
      <c r="G19" s="969"/>
      <c r="H19" s="969"/>
      <c r="I19" s="969"/>
      <c r="J19" s="969"/>
      <c r="K19" s="995"/>
      <c r="L19" s="905"/>
    </row>
    <row r="20" spans="1:12" ht="10.9" customHeight="1" x14ac:dyDescent="0.25">
      <c r="A20" s="903"/>
      <c r="B20" s="906"/>
      <c r="C20" s="907"/>
      <c r="D20" s="907"/>
      <c r="E20" s="907"/>
      <c r="F20" s="907"/>
      <c r="G20" s="907"/>
      <c r="H20" s="907"/>
      <c r="I20" s="907"/>
      <c r="J20" s="907"/>
      <c r="K20" s="908"/>
      <c r="L20" s="905"/>
    </row>
    <row r="21" spans="1:12" ht="11.45" customHeight="1" x14ac:dyDescent="0.25">
      <c r="A21" s="903"/>
      <c r="B21" s="904"/>
      <c r="C21" s="904"/>
      <c r="D21" s="904"/>
      <c r="E21" s="904"/>
      <c r="F21" s="904"/>
      <c r="G21" s="904"/>
      <c r="H21" s="904"/>
      <c r="I21" s="904"/>
      <c r="J21" s="904"/>
      <c r="K21" s="904"/>
      <c r="L21" s="905"/>
    </row>
    <row r="22" spans="1:12" ht="20.85" customHeight="1" x14ac:dyDescent="0.25">
      <c r="A22" s="9" t="s">
        <v>8</v>
      </c>
      <c r="B22" s="7"/>
      <c r="C22" s="7"/>
      <c r="D22" s="7"/>
      <c r="E22" s="7"/>
      <c r="F22" s="7"/>
      <c r="G22" s="7"/>
      <c r="H22" s="7"/>
      <c r="I22" s="7"/>
      <c r="J22" s="7"/>
      <c r="K22" s="7"/>
      <c r="L22" s="8"/>
    </row>
    <row r="23" spans="1:12" ht="20.85" customHeight="1" x14ac:dyDescent="0.25"/>
    <row r="24" spans="1:12" ht="20.85" customHeight="1" x14ac:dyDescent="0.25">
      <c r="A24" s="979" t="s">
        <v>9</v>
      </c>
      <c r="B24" s="979"/>
      <c r="C24" s="979"/>
      <c r="D24" s="979"/>
      <c r="E24" s="979"/>
      <c r="F24" s="979"/>
      <c r="G24" s="979"/>
      <c r="H24" s="979"/>
      <c r="I24" s="979"/>
      <c r="J24" s="979"/>
      <c r="K24" s="979"/>
      <c r="L24" s="979"/>
    </row>
    <row r="25" spans="1:12" ht="20.85" customHeight="1" x14ac:dyDescent="0.25">
      <c r="A25" s="10" t="s">
        <v>10</v>
      </c>
      <c r="B25" s="11" t="s">
        <v>11</v>
      </c>
      <c r="C25" s="976" t="s">
        <v>2850</v>
      </c>
      <c r="D25" s="977"/>
      <c r="E25" s="977"/>
      <c r="F25" s="977"/>
      <c r="G25" s="977"/>
      <c r="H25" s="977"/>
      <c r="I25" s="977"/>
      <c r="J25" s="977"/>
      <c r="K25" s="977"/>
      <c r="L25" s="978"/>
    </row>
    <row r="26" spans="1:12" ht="20.85" customHeight="1" x14ac:dyDescent="0.25">
      <c r="A26" s="970" t="s">
        <v>12</v>
      </c>
      <c r="B26" s="11" t="s">
        <v>923</v>
      </c>
      <c r="C26" s="973" t="s">
        <v>925</v>
      </c>
      <c r="D26" s="974"/>
      <c r="E26" s="974"/>
      <c r="F26" s="974"/>
      <c r="G26" s="974"/>
      <c r="H26" s="974"/>
      <c r="I26" s="974"/>
      <c r="J26" s="974"/>
      <c r="K26" s="974"/>
      <c r="L26" s="975"/>
    </row>
    <row r="27" spans="1:12" ht="20.85" customHeight="1" x14ac:dyDescent="0.25">
      <c r="A27" s="971"/>
      <c r="B27" s="11" t="s">
        <v>922</v>
      </c>
      <c r="C27" s="973">
        <v>22</v>
      </c>
      <c r="D27" s="974"/>
      <c r="E27" s="974"/>
      <c r="F27" s="974"/>
      <c r="G27" s="974"/>
      <c r="H27" s="974"/>
      <c r="I27" s="974"/>
      <c r="J27" s="974"/>
      <c r="K27" s="974"/>
      <c r="L27" s="975"/>
    </row>
    <row r="28" spans="1:12" ht="20.85" customHeight="1" x14ac:dyDescent="0.25">
      <c r="A28" s="972"/>
      <c r="B28" s="11" t="s">
        <v>921</v>
      </c>
      <c r="C28" s="964">
        <v>2025</v>
      </c>
      <c r="D28" s="965"/>
      <c r="E28" s="965"/>
      <c r="F28" s="965"/>
      <c r="G28" s="965"/>
      <c r="H28" s="965"/>
      <c r="I28" s="965"/>
      <c r="J28" s="965"/>
      <c r="K28" s="965"/>
      <c r="L28" s="966"/>
    </row>
    <row r="29" spans="1:12" ht="20.85" customHeight="1" x14ac:dyDescent="0.25">
      <c r="A29" s="10" t="s">
        <v>14</v>
      </c>
      <c r="B29" s="11" t="s">
        <v>2732</v>
      </c>
      <c r="C29" s="967">
        <v>85292698666</v>
      </c>
      <c r="D29" s="967"/>
      <c r="E29" s="967"/>
      <c r="F29" s="967"/>
      <c r="G29" s="967"/>
      <c r="H29" s="967"/>
      <c r="I29" s="967"/>
      <c r="J29" s="967"/>
      <c r="K29" s="967"/>
      <c r="L29" s="967"/>
    </row>
    <row r="30" spans="1:12" ht="8.4499999999999993" customHeight="1" x14ac:dyDescent="0.25"/>
    <row r="31" spans="1:12" ht="20.45" customHeight="1" x14ac:dyDescent="0.25">
      <c r="F31" s="968" t="s">
        <v>15</v>
      </c>
      <c r="G31" s="968"/>
      <c r="H31" s="968"/>
      <c r="I31" s="968"/>
      <c r="J31" s="968"/>
      <c r="K31" s="968"/>
    </row>
    <row r="32" spans="1:12" ht="20.45" customHeight="1" x14ac:dyDescent="0.25">
      <c r="F32" s="904"/>
      <c r="G32" s="904"/>
      <c r="H32" s="904"/>
      <c r="I32" s="904"/>
      <c r="J32" s="904"/>
      <c r="K32" s="904"/>
    </row>
    <row r="33" spans="6:11" ht="20.45" customHeight="1" x14ac:dyDescent="0.25">
      <c r="F33" s="904"/>
      <c r="G33" s="904"/>
      <c r="H33" s="904"/>
      <c r="I33" s="904"/>
      <c r="J33" s="904"/>
      <c r="K33" s="904"/>
    </row>
    <row r="34" spans="6:11" ht="20.45" customHeight="1" x14ac:dyDescent="0.25">
      <c r="F34" s="904"/>
      <c r="G34" s="904"/>
      <c r="H34" s="904"/>
      <c r="I34" s="904"/>
      <c r="J34" s="904"/>
      <c r="K34" s="904"/>
    </row>
    <row r="35" spans="6:11" ht="20.45" customHeight="1" x14ac:dyDescent="0.25">
      <c r="F35" s="969" t="s">
        <v>2851</v>
      </c>
      <c r="G35" s="969"/>
      <c r="H35" s="969"/>
      <c r="I35" s="969"/>
      <c r="J35" s="969"/>
      <c r="K35" s="969"/>
    </row>
    <row r="36" spans="6:11" ht="20.45" customHeight="1" x14ac:dyDescent="0.25">
      <c r="F36" s="904"/>
      <c r="G36" s="904"/>
      <c r="H36" s="904"/>
      <c r="I36" s="904"/>
      <c r="J36" s="904"/>
      <c r="K36" s="904"/>
    </row>
  </sheetData>
  <sheetProtection algorithmName="SHA-512" hashValue="MfaLYFl0YLhL4SLzWnUf682t0cTAk+4+60gJygaHZHtruF6kwS5sQqWQEqOObA/k1ujLwKNjgcs8RFtFRpjQcQ==" saltValue="K31GiFpjqW6Ki4ddCA5VoA==" spinCount="100000" sheet="1" formatCells="0" formatColumns="0" formatRows="0" insertColumns="0" insertRows="0" insertHyperlinks="0" deleteColumns="0" deleteRows="0" sort="0" autoFilter="0" pivotTables="0"/>
  <mergeCells count="20">
    <mergeCell ref="C25:L25"/>
    <mergeCell ref="A24:L24"/>
    <mergeCell ref="A3:L3"/>
    <mergeCell ref="A4:L4"/>
    <mergeCell ref="A6:L6"/>
    <mergeCell ref="A7:L7"/>
    <mergeCell ref="A8:L8"/>
    <mergeCell ref="A9:L9"/>
    <mergeCell ref="A10:L10"/>
    <mergeCell ref="B12:K12"/>
    <mergeCell ref="B13:K13"/>
    <mergeCell ref="F15:K15"/>
    <mergeCell ref="F19:K19"/>
    <mergeCell ref="C28:L28"/>
    <mergeCell ref="C29:L29"/>
    <mergeCell ref="F31:K31"/>
    <mergeCell ref="F35:K35"/>
    <mergeCell ref="A26:A28"/>
    <mergeCell ref="C26:L26"/>
    <mergeCell ref="C27:L27"/>
  </mergeCells>
  <dataValidations xWindow="939" yWindow="782" count="4">
    <dataValidation type="textLength" showInputMessage="1" showErrorMessage="1" promptTitle="Petugas Pendataan Indeks Desa 25" prompt="Nama Lengkap Petugas Pendataan Indeks Desa Tahun 2025" sqref="C25:L25" xr:uid="{00000000-0002-0000-0000-000000000000}">
      <formula1>4</formula1>
      <formula2>30</formula2>
    </dataValidation>
    <dataValidation type="whole" showInputMessage="1" showErrorMessage="1" promptTitle="Nomor Telp Petugas yg Aktif" prompt="Di isi tanpa awalan angka NOL (0)_x000a_contoh:_x000a_8171234567890" sqref="C29:L29" xr:uid="{00000000-0002-0000-0000-000001000000}">
      <formula1>81111111</formula1>
      <formula2>899999999999</formula2>
    </dataValidation>
    <dataValidation type="whole" showInputMessage="1" showErrorMessage="1" error="Input Sesuai Tanggal" promptTitle="Tgl Pendataan Indeks Desa 2025" prompt="Tanggal Pendataan Indeks Desa 2025_x000a_(Diisi 1 - 31)" sqref="C27:L27" xr:uid="{00000000-0002-0000-0000-000002000000}">
      <formula1>1</formula1>
      <formula2>IF(OR(C26="maret",C26="mei",C26="juli",C26="agustus",C26="oktober",C26="Desember"),31,30)</formula2>
    </dataValidation>
    <dataValidation type="list" showInputMessage="1" showErrorMessage="1" promptTitle="Tahun Pendataan Indeks Desa 2025" prompt="Tahun Pendataan Indeks Desa 2025" sqref="C28:L28" xr:uid="{00000000-0002-0000-0000-000003000000}">
      <formula1>"2025"</formula1>
    </dataValidation>
  </dataValidations>
  <pageMargins left="0.7" right="0.7" top="0.75" bottom="0.75" header="0.3" footer="0.3"/>
  <extLst>
    <ext xmlns:x14="http://schemas.microsoft.com/office/spreadsheetml/2009/9/main" uri="{CCE6A557-97BC-4b89-ADB6-D9C93CAAB3DF}">
      <x14:dataValidations xmlns:xm="http://schemas.microsoft.com/office/excel/2006/main" xWindow="939" yWindow="782" count="1">
        <x14:dataValidation type="list" showInputMessage="1" showErrorMessage="1" promptTitle="Bulan Pendataan Indeks Desa 25" prompt="Bulan Pendataan Indeks Desa 2025" xr:uid="{00000000-0002-0000-0000-000004000000}">
          <x14:formula1>
            <xm:f>'INPUTAN DESA ....'!$H$37:$H$46</xm:f>
          </x14:formula1>
          <xm:sqref>C26:L26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79998168889431442"/>
  </sheetPr>
  <dimension ref="A1:V666"/>
  <sheetViews>
    <sheetView tabSelected="1" zoomScale="86" zoomScaleNormal="86" workbookViewId="0">
      <pane ySplit="4" topLeftCell="A9" activePane="bottomLeft" state="frozen"/>
      <selection pane="bottomLeft" activeCell="F11" sqref="F11"/>
    </sheetView>
  </sheetViews>
  <sheetFormatPr defaultColWidth="9.140625" defaultRowHeight="21" x14ac:dyDescent="0.25"/>
  <cols>
    <col min="1" max="1" width="7.7109375" customWidth="1"/>
    <col min="2" max="2" width="7.7109375" style="15" customWidth="1"/>
    <col min="3" max="3" width="95.7109375" style="4" customWidth="1"/>
    <col min="4" max="4" width="7.5703125" style="15" customWidth="1"/>
    <col min="5" max="5" width="15.85546875" style="21" customWidth="1"/>
    <col min="6" max="6" width="58.7109375" style="1" customWidth="1"/>
    <col min="7" max="7" width="17" style="924" hidden="1" customWidth="1"/>
    <col min="8" max="8" width="16.85546875" style="922" hidden="1" customWidth="1"/>
    <col min="9" max="9" width="14.28515625" style="923" hidden="1" customWidth="1"/>
    <col min="10" max="10" width="20.5703125" customWidth="1"/>
    <col min="11" max="11" width="79.42578125" style="31" customWidth="1"/>
    <col min="12" max="12" width="49.42578125" style="43" hidden="1" customWidth="1"/>
    <col min="13" max="13" width="9.28515625" style="16" hidden="1" customWidth="1"/>
    <col min="14" max="22" width="12.28515625" style="16" hidden="1" customWidth="1"/>
  </cols>
  <sheetData>
    <row r="1" spans="1:22" s="3" customFormat="1" ht="45.75" customHeight="1" thickBot="1" x14ac:dyDescent="0.5">
      <c r="A1" s="998" t="s">
        <v>943</v>
      </c>
      <c r="B1" s="999"/>
      <c r="C1" s="999"/>
      <c r="D1" s="999"/>
      <c r="E1" s="999"/>
      <c r="F1" s="1000"/>
      <c r="G1" s="913"/>
      <c r="H1" s="914"/>
      <c r="I1" s="915"/>
      <c r="J1" s="41">
        <f>SUM(COUNTIF(J6:J576,{"Belum Terisi","CEK"}))</f>
        <v>1</v>
      </c>
      <c r="K1" s="31"/>
      <c r="L1" s="31"/>
      <c r="M1" s="996" t="s">
        <v>666</v>
      </c>
      <c r="N1" s="996"/>
      <c r="O1" s="996"/>
      <c r="P1" s="996"/>
      <c r="Q1" s="996"/>
      <c r="R1" s="996"/>
      <c r="S1" s="996"/>
      <c r="T1" s="996"/>
      <c r="U1" s="996"/>
      <c r="V1" s="996"/>
    </row>
    <row r="2" spans="1:22" ht="21" customHeight="1" thickBot="1" x14ac:dyDescent="0.3">
      <c r="A2" s="1001">
        <f>(COUNTA(D6:D576)-J1)/(COUNTA(D6:D576))</f>
        <v>0.99785407725321884</v>
      </c>
      <c r="B2" s="1002"/>
      <c r="C2" s="1003"/>
      <c r="D2" s="1002"/>
      <c r="E2" s="1002"/>
      <c r="F2" s="1004"/>
      <c r="G2" s="916"/>
      <c r="H2" s="916"/>
      <c r="I2" s="916"/>
      <c r="J2" s="46" t="str">
        <f>IF(J1&gt;0,"BELUM SELESAI","UNGGAH FILE")</f>
        <v>BELUM SELESAI</v>
      </c>
      <c r="M2" s="38"/>
      <c r="N2" s="38"/>
      <c r="O2" s="38"/>
      <c r="P2" s="38"/>
      <c r="Q2" s="38"/>
      <c r="R2" s="38"/>
      <c r="S2" s="38"/>
      <c r="T2" s="38"/>
      <c r="U2" s="38"/>
      <c r="V2" s="38"/>
    </row>
    <row r="3" spans="1:22" ht="30" customHeight="1" x14ac:dyDescent="0.25">
      <c r="A3" s="997" t="s">
        <v>589</v>
      </c>
      <c r="B3" s="997"/>
      <c r="C3" s="997"/>
      <c r="D3" s="997"/>
      <c r="E3" s="32" t="s">
        <v>173</v>
      </c>
      <c r="F3" s="33" t="s">
        <v>16</v>
      </c>
      <c r="G3" s="917" t="s">
        <v>239</v>
      </c>
      <c r="H3" s="918" t="s">
        <v>558</v>
      </c>
      <c r="I3" s="918" t="s">
        <v>559</v>
      </c>
      <c r="J3" s="47" t="str">
        <f>IF(J1=0,"SELESAI","CEK")</f>
        <v>CEK</v>
      </c>
      <c r="K3" s="681" t="s">
        <v>945</v>
      </c>
      <c r="L3" s="34" t="s">
        <v>2466</v>
      </c>
      <c r="M3" s="17" t="s">
        <v>667</v>
      </c>
      <c r="N3" s="34" t="s">
        <v>668</v>
      </c>
      <c r="O3" s="34" t="s">
        <v>669</v>
      </c>
      <c r="P3" s="34" t="s">
        <v>670</v>
      </c>
      <c r="Q3" s="34" t="s">
        <v>671</v>
      </c>
      <c r="R3" s="34" t="s">
        <v>776</v>
      </c>
      <c r="S3" s="34" t="s">
        <v>944</v>
      </c>
      <c r="T3" s="34" t="s">
        <v>640</v>
      </c>
      <c r="U3" s="34" t="s">
        <v>2639</v>
      </c>
      <c r="V3" s="34" t="s">
        <v>636</v>
      </c>
    </row>
    <row r="4" spans="1:22" ht="12.75" hidden="1" customHeight="1" x14ac:dyDescent="0.25">
      <c r="A4" s="205"/>
      <c r="B4" s="208"/>
      <c r="C4" s="209"/>
      <c r="D4" s="35"/>
      <c r="E4" s="36"/>
      <c r="F4" s="37"/>
      <c r="G4" s="913"/>
      <c r="H4" s="919"/>
      <c r="I4" s="920"/>
      <c r="J4" s="40">
        <v>1</v>
      </c>
      <c r="M4" s="38"/>
      <c r="N4" s="38"/>
      <c r="O4" s="38"/>
      <c r="P4" s="38"/>
      <c r="Q4" s="38"/>
      <c r="R4" s="38"/>
      <c r="S4" s="38"/>
      <c r="T4" s="38"/>
      <c r="U4" s="38"/>
      <c r="V4" s="38"/>
    </row>
    <row r="5" spans="1:22" ht="30" customHeight="1" x14ac:dyDescent="0.25">
      <c r="A5" s="532" t="s">
        <v>17</v>
      </c>
      <c r="B5" s="210"/>
      <c r="C5" s="210"/>
      <c r="D5" s="426"/>
      <c r="E5" s="36"/>
      <c r="G5" s="921"/>
      <c r="J5" s="205"/>
      <c r="L5" s="31"/>
    </row>
    <row r="6" spans="1:22" ht="30" customHeight="1" x14ac:dyDescent="0.25">
      <c r="A6" s="533" t="s">
        <v>10</v>
      </c>
      <c r="B6" s="211"/>
      <c r="C6" s="212" t="s">
        <v>11</v>
      </c>
      <c r="D6" s="100">
        <v>1</v>
      </c>
      <c r="E6" s="28" t="s">
        <v>261</v>
      </c>
      <c r="F6" s="687" t="str">
        <f>IF(PERSETUJUAN!C25="","",PERSETUJUAN!C25)</f>
        <v>Muhamad Aprianto</v>
      </c>
      <c r="J6" s="198" t="str">
        <f>IF(LEN(F6)&gt;0,"","Belum Terisi")</f>
        <v/>
      </c>
    </row>
    <row r="7" spans="1:22" ht="30" customHeight="1" x14ac:dyDescent="0.25">
      <c r="A7" s="533" t="s">
        <v>12</v>
      </c>
      <c r="B7" s="211"/>
      <c r="C7" s="212" t="s">
        <v>13</v>
      </c>
      <c r="D7" s="100">
        <f>D6+1</f>
        <v>2</v>
      </c>
      <c r="E7" s="28" t="s">
        <v>261</v>
      </c>
      <c r="F7" s="688" t="str">
        <f>PERSETUJUAN!C26&amp;"/ "&amp;PERSETUJUAN!C27&amp;"/ "&amp;PERSETUJUAN!C28</f>
        <v>April/ 22/ 2025</v>
      </c>
      <c r="J7" s="198" t="str">
        <f>IF(LEN(F7)&gt;8,"","Belum Terisi")</f>
        <v/>
      </c>
    </row>
    <row r="8" spans="1:22" ht="30" customHeight="1" x14ac:dyDescent="0.25">
      <c r="A8" s="533" t="s">
        <v>14</v>
      </c>
      <c r="B8" s="211"/>
      <c r="C8" s="212" t="s">
        <v>2733</v>
      </c>
      <c r="D8" s="100">
        <f>D7+1</f>
        <v>3</v>
      </c>
      <c r="E8" s="28" t="s">
        <v>261</v>
      </c>
      <c r="F8" s="689">
        <f>PERSETUJUAN!C29</f>
        <v>85292698666</v>
      </c>
      <c r="J8" s="198" t="str">
        <f>IF(F8=0,"Belum Terisi","")</f>
        <v/>
      </c>
      <c r="M8" s="45"/>
      <c r="N8" s="45"/>
    </row>
    <row r="9" spans="1:22" ht="30" customHeight="1" x14ac:dyDescent="0.25">
      <c r="A9" s="533" t="s">
        <v>186</v>
      </c>
      <c r="B9" s="211"/>
      <c r="C9" s="212" t="s">
        <v>18</v>
      </c>
      <c r="D9" s="100">
        <f>D8+1</f>
        <v>4</v>
      </c>
      <c r="E9" s="427" t="s">
        <v>172</v>
      </c>
      <c r="F9" s="690" t="s">
        <v>2852</v>
      </c>
      <c r="J9" s="198" t="str">
        <f>IF(LEN(F9)&gt;0,"","Belum Terisi")</f>
        <v/>
      </c>
      <c r="L9" s="31"/>
      <c r="N9" s="45"/>
      <c r="O9" s="45"/>
    </row>
    <row r="10" spans="1:22" ht="30" customHeight="1" x14ac:dyDescent="0.25">
      <c r="A10" s="534" t="s">
        <v>187</v>
      </c>
      <c r="B10" s="213"/>
      <c r="C10" s="212" t="s">
        <v>235</v>
      </c>
      <c r="D10" s="100">
        <f>D9+1</f>
        <v>5</v>
      </c>
      <c r="E10" s="427" t="s">
        <v>171</v>
      </c>
      <c r="F10" s="690" t="s">
        <v>2853</v>
      </c>
      <c r="H10" s="925" t="s">
        <v>240</v>
      </c>
      <c r="J10" s="198" t="str">
        <f>IF(LEN(F10)&gt;0,"","Belum Terisi")</f>
        <v/>
      </c>
      <c r="O10" s="45"/>
      <c r="P10" s="45"/>
    </row>
    <row r="11" spans="1:22" ht="30" customHeight="1" x14ac:dyDescent="0.25">
      <c r="A11" s="535"/>
      <c r="B11" s="214"/>
      <c r="C11" s="212" t="s">
        <v>881</v>
      </c>
      <c r="D11" s="100">
        <f>D10+1</f>
        <v>6</v>
      </c>
      <c r="E11" s="427" t="s">
        <v>171</v>
      </c>
      <c r="F11" s="691" t="s">
        <v>242</v>
      </c>
      <c r="H11" s="925" t="s">
        <v>242</v>
      </c>
      <c r="J11" s="198" t="str">
        <f>IF(F11="","Belum Terisi",IF(AND(F10="Perangkat Desa",F11="-"),"CEK",""))</f>
        <v/>
      </c>
      <c r="K11" s="31" t="str">
        <f>IF(J11="CEK","Petugas dari Perangkat Desa Harus mengisi Jabatan Petugas","")</f>
        <v/>
      </c>
      <c r="P11" s="45"/>
      <c r="Q11" s="45"/>
      <c r="R11" s="45"/>
      <c r="S11" s="45"/>
      <c r="T11" s="45"/>
      <c r="U11" s="45"/>
      <c r="V11" s="45"/>
    </row>
    <row r="12" spans="1:22" ht="30" customHeight="1" x14ac:dyDescent="0.25">
      <c r="A12" s="536" t="s">
        <v>1442</v>
      </c>
      <c r="B12" s="215"/>
      <c r="C12" s="215"/>
      <c r="D12" s="428"/>
      <c r="E12" s="429"/>
      <c r="F12" s="692"/>
      <c r="H12" s="925" t="s">
        <v>243</v>
      </c>
      <c r="J12" s="199"/>
    </row>
    <row r="13" spans="1:22" ht="30" customHeight="1" x14ac:dyDescent="0.25">
      <c r="A13" s="537">
        <v>101</v>
      </c>
      <c r="B13" s="216"/>
      <c r="C13" s="217" t="s">
        <v>19</v>
      </c>
      <c r="D13" s="100">
        <f>D11+1</f>
        <v>7</v>
      </c>
      <c r="E13" s="427" t="s">
        <v>174</v>
      </c>
      <c r="F13" s="693" t="s">
        <v>2786</v>
      </c>
      <c r="G13" s="921"/>
      <c r="H13" s="926" t="s">
        <v>244</v>
      </c>
      <c r="J13" s="198" t="str">
        <f>IF(LEN(F13)&gt;0,"","Belum Terisi")</f>
        <v/>
      </c>
      <c r="L13" s="31"/>
    </row>
    <row r="14" spans="1:22" ht="30" customHeight="1" x14ac:dyDescent="0.25">
      <c r="A14" s="538">
        <f>A13+1</f>
        <v>102</v>
      </c>
      <c r="B14" s="216"/>
      <c r="C14" s="217" t="s">
        <v>946</v>
      </c>
      <c r="D14" s="100">
        <f t="shared" ref="D14:D46" si="0">D13+1</f>
        <v>8</v>
      </c>
      <c r="E14" s="427" t="s">
        <v>171</v>
      </c>
      <c r="F14" s="694" t="s">
        <v>888</v>
      </c>
      <c r="G14" s="921"/>
      <c r="H14" s="926" t="s">
        <v>245</v>
      </c>
      <c r="J14" s="198" t="str">
        <f>IF(LEN(F14)&gt;0,"","Belum Terisi")</f>
        <v/>
      </c>
    </row>
    <row r="15" spans="1:22" ht="30" customHeight="1" x14ac:dyDescent="0.25">
      <c r="A15" s="537">
        <f>A14+1</f>
        <v>103</v>
      </c>
      <c r="B15" s="216"/>
      <c r="C15" s="217" t="s">
        <v>237</v>
      </c>
      <c r="D15" s="100">
        <f t="shared" si="0"/>
        <v>9</v>
      </c>
      <c r="E15" s="427" t="s">
        <v>172</v>
      </c>
      <c r="F15" s="695">
        <v>81392499709</v>
      </c>
      <c r="J15" s="198" t="str">
        <f>IF(LEN(F15)&gt;0,"","Belum Terisi")</f>
        <v/>
      </c>
    </row>
    <row r="16" spans="1:22" ht="30" customHeight="1" x14ac:dyDescent="0.25">
      <c r="A16" s="1008">
        <f>A15+1</f>
        <v>104</v>
      </c>
      <c r="B16" s="218"/>
      <c r="C16" s="217" t="s">
        <v>20</v>
      </c>
      <c r="D16" s="100">
        <f t="shared" si="0"/>
        <v>10</v>
      </c>
      <c r="E16" s="28" t="s">
        <v>261</v>
      </c>
      <c r="F16" s="696" t="str">
        <f>F19&amp;"/ "&amp;F18&amp;"/ "&amp;F17</f>
        <v>22/ Oktober/ 1988</v>
      </c>
      <c r="J16" s="198" t="str">
        <f>IF(LEN(F16)&gt;8,"","Belum Terisi")</f>
        <v/>
      </c>
      <c r="L16" s="31"/>
    </row>
    <row r="17" spans="1:22" ht="30" customHeight="1" x14ac:dyDescent="0.25">
      <c r="A17" s="1009"/>
      <c r="B17" s="216" t="s">
        <v>41</v>
      </c>
      <c r="C17" s="217" t="s">
        <v>938</v>
      </c>
      <c r="D17" s="100">
        <f t="shared" si="0"/>
        <v>11</v>
      </c>
      <c r="E17" s="427" t="s">
        <v>174</v>
      </c>
      <c r="F17" s="695">
        <v>1988</v>
      </c>
      <c r="J17" s="198" t="str">
        <f t="shared" ref="J17:J37" si="1">IF(LEN(F17)&gt;0,"","Belum Terisi")</f>
        <v/>
      </c>
    </row>
    <row r="18" spans="1:22" ht="30" customHeight="1" x14ac:dyDescent="0.25">
      <c r="A18" s="1009"/>
      <c r="B18" s="216" t="s">
        <v>139</v>
      </c>
      <c r="C18" s="217" t="s">
        <v>935</v>
      </c>
      <c r="D18" s="100">
        <f t="shared" si="0"/>
        <v>12</v>
      </c>
      <c r="E18" s="427" t="s">
        <v>171</v>
      </c>
      <c r="F18" s="695" t="s">
        <v>931</v>
      </c>
      <c r="J18" s="198" t="str">
        <f t="shared" si="1"/>
        <v/>
      </c>
    </row>
    <row r="19" spans="1:22" ht="30" customHeight="1" x14ac:dyDescent="0.25">
      <c r="A19" s="1010"/>
      <c r="B19" s="216" t="s">
        <v>251</v>
      </c>
      <c r="C19" s="217" t="s">
        <v>20</v>
      </c>
      <c r="D19" s="100">
        <f t="shared" si="0"/>
        <v>13</v>
      </c>
      <c r="E19" s="427" t="s">
        <v>174</v>
      </c>
      <c r="F19" s="695">
        <v>22</v>
      </c>
      <c r="H19" s="922" t="s">
        <v>723</v>
      </c>
      <c r="J19" s="198" t="str">
        <f t="shared" si="1"/>
        <v/>
      </c>
    </row>
    <row r="20" spans="1:22" ht="30" customHeight="1" x14ac:dyDescent="0.25">
      <c r="A20" s="537">
        <f>A16+1</f>
        <v>105</v>
      </c>
      <c r="B20" s="216"/>
      <c r="C20" s="217" t="s">
        <v>21</v>
      </c>
      <c r="D20" s="100">
        <f t="shared" si="0"/>
        <v>14</v>
      </c>
      <c r="E20" s="427" t="s">
        <v>171</v>
      </c>
      <c r="F20" s="697" t="s">
        <v>723</v>
      </c>
      <c r="H20" s="922" t="s">
        <v>724</v>
      </c>
      <c r="J20" s="198" t="str">
        <f t="shared" si="1"/>
        <v/>
      </c>
    </row>
    <row r="21" spans="1:22" ht="30" customHeight="1" x14ac:dyDescent="0.25">
      <c r="A21" s="1005">
        <f>A20+1</f>
        <v>106</v>
      </c>
      <c r="B21" s="216" t="s">
        <v>41</v>
      </c>
      <c r="C21" s="217" t="s">
        <v>947</v>
      </c>
      <c r="D21" s="100">
        <f t="shared" si="0"/>
        <v>15</v>
      </c>
      <c r="E21" s="28" t="s">
        <v>261</v>
      </c>
      <c r="F21" s="792">
        <v>33</v>
      </c>
      <c r="J21" s="198" t="str">
        <f t="shared" si="1"/>
        <v/>
      </c>
      <c r="M21" s="847" t="s">
        <v>667</v>
      </c>
      <c r="N21" s="847" t="s">
        <v>668</v>
      </c>
      <c r="O21" s="847" t="s">
        <v>669</v>
      </c>
      <c r="P21" s="847"/>
      <c r="Q21" s="847"/>
      <c r="R21" s="847" t="s">
        <v>776</v>
      </c>
      <c r="S21" s="21"/>
      <c r="T21" s="21"/>
      <c r="U21" s="21"/>
      <c r="V21" s="21"/>
    </row>
    <row r="22" spans="1:22" ht="30" customHeight="1" x14ac:dyDescent="0.25">
      <c r="A22" s="1007"/>
      <c r="B22" s="216" t="s">
        <v>139</v>
      </c>
      <c r="C22" s="217" t="s">
        <v>953</v>
      </c>
      <c r="D22" s="100">
        <f t="shared" si="0"/>
        <v>16</v>
      </c>
      <c r="E22" s="28" t="s">
        <v>261</v>
      </c>
      <c r="F22" s="793" t="s">
        <v>2846</v>
      </c>
      <c r="H22" s="922" t="s">
        <v>887</v>
      </c>
      <c r="J22" s="198" t="str">
        <f t="shared" si="1"/>
        <v/>
      </c>
      <c r="M22" s="847" t="s">
        <v>667</v>
      </c>
      <c r="N22" s="847" t="s">
        <v>668</v>
      </c>
      <c r="O22" s="847" t="s">
        <v>669</v>
      </c>
      <c r="P22" s="847"/>
      <c r="Q22" s="847"/>
      <c r="R22" s="847" t="s">
        <v>776</v>
      </c>
      <c r="S22" s="21"/>
      <c r="T22" s="21"/>
      <c r="U22" s="21"/>
      <c r="V22" s="21"/>
    </row>
    <row r="23" spans="1:22" ht="30" customHeight="1" x14ac:dyDescent="0.25">
      <c r="A23" s="1005">
        <f>A21+1</f>
        <v>107</v>
      </c>
      <c r="B23" s="216" t="s">
        <v>41</v>
      </c>
      <c r="C23" s="217" t="s">
        <v>948</v>
      </c>
      <c r="D23" s="100">
        <f t="shared" si="0"/>
        <v>17</v>
      </c>
      <c r="E23" s="28" t="s">
        <v>261</v>
      </c>
      <c r="F23" s="792">
        <v>3308</v>
      </c>
      <c r="H23" s="922" t="s">
        <v>885</v>
      </c>
      <c r="J23" s="198" t="str">
        <f t="shared" si="1"/>
        <v/>
      </c>
      <c r="L23" s="31"/>
      <c r="M23" s="847" t="s">
        <v>667</v>
      </c>
      <c r="N23" s="847" t="s">
        <v>668</v>
      </c>
      <c r="O23" s="847" t="s">
        <v>669</v>
      </c>
      <c r="P23" s="847"/>
      <c r="Q23" s="847"/>
      <c r="R23" s="847" t="s">
        <v>776</v>
      </c>
      <c r="S23" s="21"/>
      <c r="T23" s="21"/>
      <c r="U23" s="21"/>
      <c r="V23" s="21"/>
    </row>
    <row r="24" spans="1:22" ht="30" customHeight="1" x14ac:dyDescent="0.25">
      <c r="A24" s="1007"/>
      <c r="B24" s="216" t="s">
        <v>139</v>
      </c>
      <c r="C24" s="217" t="s">
        <v>954</v>
      </c>
      <c r="D24" s="100">
        <f t="shared" si="0"/>
        <v>18</v>
      </c>
      <c r="E24" s="28" t="s">
        <v>261</v>
      </c>
      <c r="F24" s="793" t="s">
        <v>2847</v>
      </c>
      <c r="H24" s="922" t="s">
        <v>888</v>
      </c>
      <c r="J24" s="198" t="str">
        <f t="shared" si="1"/>
        <v/>
      </c>
      <c r="M24" s="847" t="s">
        <v>667</v>
      </c>
      <c r="N24" s="847" t="s">
        <v>668</v>
      </c>
      <c r="O24" s="847" t="s">
        <v>669</v>
      </c>
      <c r="P24" s="847"/>
      <c r="Q24" s="847"/>
      <c r="R24" s="847" t="s">
        <v>776</v>
      </c>
      <c r="S24" s="21"/>
      <c r="T24" s="21"/>
      <c r="U24" s="21"/>
      <c r="V24" s="21"/>
    </row>
    <row r="25" spans="1:22" ht="30" customHeight="1" x14ac:dyDescent="0.25">
      <c r="A25" s="1005">
        <f>A23+1</f>
        <v>108</v>
      </c>
      <c r="B25" s="219" t="s">
        <v>41</v>
      </c>
      <c r="C25" s="217" t="s">
        <v>949</v>
      </c>
      <c r="D25" s="100">
        <f t="shared" si="0"/>
        <v>19</v>
      </c>
      <c r="E25" s="28" t="s">
        <v>261</v>
      </c>
      <c r="F25" s="792">
        <v>330812</v>
      </c>
      <c r="H25" s="922" t="s">
        <v>889</v>
      </c>
      <c r="J25" s="198" t="str">
        <f t="shared" si="1"/>
        <v/>
      </c>
      <c r="M25" s="847" t="s">
        <v>667</v>
      </c>
      <c r="N25" s="847" t="s">
        <v>668</v>
      </c>
      <c r="O25" s="847" t="s">
        <v>669</v>
      </c>
      <c r="P25" s="847"/>
      <c r="Q25" s="847"/>
      <c r="R25" s="847" t="s">
        <v>776</v>
      </c>
      <c r="S25" s="21"/>
      <c r="T25" s="21"/>
      <c r="U25" s="21"/>
      <c r="V25" s="21"/>
    </row>
    <row r="26" spans="1:22" ht="30" customHeight="1" x14ac:dyDescent="0.25">
      <c r="A26" s="1007"/>
      <c r="B26" s="219" t="s">
        <v>139</v>
      </c>
      <c r="C26" s="217" t="s">
        <v>955</v>
      </c>
      <c r="D26" s="100">
        <f t="shared" si="0"/>
        <v>20</v>
      </c>
      <c r="E26" s="28" t="s">
        <v>261</v>
      </c>
      <c r="F26" s="793" t="s">
        <v>2848</v>
      </c>
      <c r="H26" s="922" t="s">
        <v>890</v>
      </c>
      <c r="J26" s="198" t="str">
        <f t="shared" si="1"/>
        <v/>
      </c>
      <c r="M26" s="847" t="s">
        <v>667</v>
      </c>
      <c r="N26" s="847" t="s">
        <v>668</v>
      </c>
      <c r="O26" s="847" t="s">
        <v>669</v>
      </c>
      <c r="P26" s="847"/>
      <c r="Q26" s="847"/>
      <c r="R26" s="847" t="s">
        <v>776</v>
      </c>
      <c r="S26" s="21"/>
      <c r="T26" s="21"/>
      <c r="U26" s="21"/>
      <c r="V26" s="21"/>
    </row>
    <row r="27" spans="1:22" ht="30" customHeight="1" x14ac:dyDescent="0.25">
      <c r="A27" s="1005">
        <f>A25+1</f>
        <v>109</v>
      </c>
      <c r="B27" s="219" t="s">
        <v>41</v>
      </c>
      <c r="C27" s="217" t="s">
        <v>950</v>
      </c>
      <c r="D27" s="100">
        <f t="shared" si="0"/>
        <v>21</v>
      </c>
      <c r="E27" s="28" t="s">
        <v>261</v>
      </c>
      <c r="F27" s="792">
        <v>3308122001</v>
      </c>
      <c r="H27" s="922" t="s">
        <v>891</v>
      </c>
      <c r="J27" s="198" t="str">
        <f t="shared" si="1"/>
        <v/>
      </c>
      <c r="L27" s="31"/>
      <c r="M27" s="847" t="s">
        <v>667</v>
      </c>
      <c r="N27" s="847" t="s">
        <v>668</v>
      </c>
      <c r="O27" s="847" t="s">
        <v>669</v>
      </c>
      <c r="P27" s="847"/>
      <c r="Q27" s="847"/>
      <c r="R27" s="847" t="s">
        <v>776</v>
      </c>
      <c r="S27" s="21"/>
      <c r="T27" s="21"/>
      <c r="U27" s="21"/>
      <c r="V27" s="21"/>
    </row>
    <row r="28" spans="1:22" ht="30" customHeight="1" x14ac:dyDescent="0.25">
      <c r="A28" s="1007"/>
      <c r="B28" s="219" t="s">
        <v>139</v>
      </c>
      <c r="C28" s="217" t="s">
        <v>956</v>
      </c>
      <c r="D28" s="100">
        <f t="shared" si="0"/>
        <v>22</v>
      </c>
      <c r="E28" s="28" t="s">
        <v>261</v>
      </c>
      <c r="F28" s="793" t="s">
        <v>2849</v>
      </c>
      <c r="H28" s="922" t="s">
        <v>892</v>
      </c>
      <c r="J28" s="198" t="str">
        <f t="shared" si="1"/>
        <v/>
      </c>
      <c r="M28" s="847" t="s">
        <v>667</v>
      </c>
      <c r="N28" s="847" t="s">
        <v>668</v>
      </c>
      <c r="O28" s="847" t="s">
        <v>669</v>
      </c>
      <c r="P28" s="847"/>
      <c r="Q28" s="847"/>
      <c r="R28" s="847" t="s">
        <v>776</v>
      </c>
      <c r="S28" s="21"/>
      <c r="T28" s="21"/>
      <c r="U28" s="21"/>
      <c r="V28" s="21"/>
    </row>
    <row r="29" spans="1:22" ht="30" customHeight="1" x14ac:dyDescent="0.25">
      <c r="A29" s="537">
        <f>A27+1</f>
        <v>110</v>
      </c>
      <c r="B29" s="216"/>
      <c r="C29" s="220" t="s">
        <v>175</v>
      </c>
      <c r="D29" s="100">
        <f t="shared" si="0"/>
        <v>23</v>
      </c>
      <c r="E29" s="427" t="s">
        <v>200</v>
      </c>
      <c r="F29" s="698" t="s">
        <v>2798</v>
      </c>
      <c r="H29" s="922" t="s">
        <v>893</v>
      </c>
      <c r="J29" s="198" t="str">
        <f t="shared" si="1"/>
        <v/>
      </c>
      <c r="M29" s="21"/>
      <c r="N29" s="21"/>
      <c r="O29" s="21"/>
      <c r="P29" s="21"/>
      <c r="Q29" s="21"/>
      <c r="R29" s="21"/>
      <c r="S29" s="21"/>
      <c r="T29" s="21"/>
      <c r="U29" s="21"/>
      <c r="V29" s="21"/>
    </row>
    <row r="30" spans="1:22" ht="49.9" customHeight="1" x14ac:dyDescent="0.25">
      <c r="A30" s="1005">
        <f>A29+1</f>
        <v>111</v>
      </c>
      <c r="B30" s="219" t="s">
        <v>41</v>
      </c>
      <c r="C30" s="217" t="s">
        <v>951</v>
      </c>
      <c r="D30" s="100">
        <f t="shared" si="0"/>
        <v>24</v>
      </c>
      <c r="E30" s="427" t="s">
        <v>174</v>
      </c>
      <c r="F30" s="790" t="s">
        <v>2799</v>
      </c>
      <c r="H30" s="922" t="s">
        <v>886</v>
      </c>
      <c r="J30" s="198" t="str">
        <f t="shared" si="1"/>
        <v/>
      </c>
      <c r="M30" s="21"/>
      <c r="N30" s="21"/>
      <c r="O30" s="21"/>
      <c r="P30" s="21"/>
      <c r="Q30" s="21"/>
      <c r="R30" s="21"/>
      <c r="S30" s="21"/>
      <c r="T30" s="21"/>
      <c r="U30" s="21"/>
      <c r="V30" s="21"/>
    </row>
    <row r="31" spans="1:22" ht="30" customHeight="1" x14ac:dyDescent="0.25">
      <c r="A31" s="1006"/>
      <c r="B31" s="219" t="s">
        <v>139</v>
      </c>
      <c r="C31" s="217" t="s">
        <v>957</v>
      </c>
      <c r="D31" s="100">
        <f t="shared" si="0"/>
        <v>25</v>
      </c>
      <c r="E31" s="427" t="s">
        <v>171</v>
      </c>
      <c r="F31" s="694">
        <v>1</v>
      </c>
      <c r="J31" s="198" t="str">
        <f t="shared" si="1"/>
        <v/>
      </c>
      <c r="L31" s="31"/>
      <c r="M31" s="21"/>
      <c r="N31" s="21"/>
      <c r="O31" s="21"/>
      <c r="P31" s="21"/>
      <c r="Q31" s="21"/>
      <c r="R31" s="21"/>
      <c r="S31" s="21"/>
      <c r="T31" s="21"/>
      <c r="U31" s="21"/>
      <c r="V31" s="21"/>
    </row>
    <row r="32" spans="1:22" ht="30" customHeight="1" x14ac:dyDescent="0.25">
      <c r="A32" s="1007"/>
      <c r="B32" s="219" t="s">
        <v>251</v>
      </c>
      <c r="C32" s="217" t="s">
        <v>959</v>
      </c>
      <c r="D32" s="100">
        <f t="shared" si="0"/>
        <v>26</v>
      </c>
      <c r="E32" s="427" t="s">
        <v>171</v>
      </c>
      <c r="F32" s="697" t="s">
        <v>263</v>
      </c>
      <c r="H32" s="922" t="s">
        <v>894</v>
      </c>
      <c r="J32" s="198" t="str">
        <f t="shared" si="1"/>
        <v/>
      </c>
      <c r="M32" s="21"/>
      <c r="N32" s="21"/>
      <c r="O32" s="21"/>
      <c r="P32" s="21"/>
      <c r="Q32" s="21"/>
      <c r="R32" s="21"/>
      <c r="S32" s="21"/>
      <c r="T32" s="21"/>
      <c r="U32" s="21"/>
      <c r="V32" s="21"/>
    </row>
    <row r="33" spans="1:22" ht="30" customHeight="1" x14ac:dyDescent="0.25">
      <c r="A33" s="540">
        <f>A30+1</f>
        <v>112</v>
      </c>
      <c r="B33" s="219" t="s">
        <v>41</v>
      </c>
      <c r="C33" s="217" t="s">
        <v>952</v>
      </c>
      <c r="D33" s="100">
        <f t="shared" si="0"/>
        <v>27</v>
      </c>
      <c r="E33" s="427" t="s">
        <v>174</v>
      </c>
      <c r="F33" s="693" t="s">
        <v>2800</v>
      </c>
      <c r="H33" s="922" t="s">
        <v>895</v>
      </c>
      <c r="J33" s="198" t="str">
        <f t="shared" si="1"/>
        <v/>
      </c>
      <c r="M33" s="21"/>
      <c r="N33" s="21"/>
      <c r="O33" s="21"/>
      <c r="P33" s="21"/>
      <c r="Q33" s="21"/>
      <c r="R33" s="21"/>
      <c r="S33" s="21"/>
      <c r="T33" s="21"/>
      <c r="U33" s="21"/>
      <c r="V33" s="21"/>
    </row>
    <row r="34" spans="1:22" s="14" customFormat="1" ht="30" customHeight="1" x14ac:dyDescent="0.25">
      <c r="A34" s="543"/>
      <c r="B34" s="219" t="s">
        <v>139</v>
      </c>
      <c r="C34" s="217" t="s">
        <v>958</v>
      </c>
      <c r="D34" s="100">
        <f t="shared" si="0"/>
        <v>28</v>
      </c>
      <c r="E34" s="427" t="s">
        <v>171</v>
      </c>
      <c r="F34" s="694" t="s">
        <v>894</v>
      </c>
      <c r="G34" s="924"/>
      <c r="H34" s="922" t="s">
        <v>263</v>
      </c>
      <c r="I34" s="923"/>
      <c r="J34" s="198" t="str">
        <f t="shared" si="1"/>
        <v/>
      </c>
      <c r="K34" s="31"/>
      <c r="L34" s="43"/>
      <c r="M34" s="847"/>
      <c r="N34" s="847"/>
      <c r="O34" s="847"/>
      <c r="P34" s="847"/>
      <c r="Q34" s="847"/>
      <c r="R34" s="847"/>
      <c r="S34" s="847"/>
      <c r="T34" s="847"/>
      <c r="U34" s="847"/>
      <c r="V34" s="847"/>
    </row>
    <row r="35" spans="1:22" ht="30" customHeight="1" x14ac:dyDescent="0.25">
      <c r="A35" s="544"/>
      <c r="B35" s="219" t="s">
        <v>251</v>
      </c>
      <c r="C35" s="217" t="s">
        <v>960</v>
      </c>
      <c r="D35" s="100">
        <f t="shared" si="0"/>
        <v>29</v>
      </c>
      <c r="E35" s="427" t="s">
        <v>171</v>
      </c>
      <c r="F35" s="697" t="s">
        <v>724</v>
      </c>
      <c r="H35" s="922" t="s">
        <v>936</v>
      </c>
      <c r="J35" s="198" t="str">
        <f t="shared" si="1"/>
        <v/>
      </c>
      <c r="L35" s="31"/>
      <c r="M35" s="21"/>
      <c r="N35" s="21"/>
      <c r="O35" s="21"/>
      <c r="P35" s="21"/>
      <c r="Q35" s="21"/>
      <c r="R35" s="21"/>
      <c r="S35" s="21"/>
      <c r="T35" s="21"/>
      <c r="U35" s="21"/>
      <c r="V35" s="21"/>
    </row>
    <row r="36" spans="1:22" ht="30" customHeight="1" x14ac:dyDescent="0.25">
      <c r="A36" s="537">
        <f>A33+1</f>
        <v>113</v>
      </c>
      <c r="B36" s="216"/>
      <c r="C36" s="217" t="s">
        <v>22</v>
      </c>
      <c r="D36" s="100">
        <f t="shared" si="0"/>
        <v>30</v>
      </c>
      <c r="E36" s="427" t="s">
        <v>174</v>
      </c>
      <c r="F36" s="700">
        <v>85752548333</v>
      </c>
      <c r="H36" s="922" t="s">
        <v>937</v>
      </c>
      <c r="J36" s="198" t="str">
        <f t="shared" si="1"/>
        <v/>
      </c>
      <c r="M36" s="21"/>
      <c r="N36" s="21"/>
      <c r="O36" s="21"/>
      <c r="P36" s="21"/>
      <c r="Q36" s="21"/>
      <c r="R36" s="21"/>
      <c r="S36" s="21"/>
      <c r="T36" s="21"/>
      <c r="U36" s="21"/>
      <c r="V36" s="21"/>
    </row>
    <row r="37" spans="1:22" ht="30" customHeight="1" x14ac:dyDescent="0.25">
      <c r="A37" s="537">
        <f>A36+1</f>
        <v>114</v>
      </c>
      <c r="B37" s="216"/>
      <c r="C37" s="217" t="s">
        <v>23</v>
      </c>
      <c r="D37" s="100">
        <f t="shared" si="0"/>
        <v>31</v>
      </c>
      <c r="E37" s="427" t="s">
        <v>174</v>
      </c>
      <c r="F37" s="699">
        <v>85752548333</v>
      </c>
      <c r="H37" s="922" t="s">
        <v>924</v>
      </c>
      <c r="J37" s="198" t="str">
        <f t="shared" si="1"/>
        <v/>
      </c>
      <c r="M37" s="21"/>
      <c r="N37" s="21"/>
      <c r="O37" s="21"/>
      <c r="P37" s="21"/>
      <c r="Q37" s="21"/>
      <c r="R37" s="21"/>
      <c r="S37" s="21"/>
      <c r="T37" s="21"/>
      <c r="U37" s="21"/>
      <c r="V37" s="21"/>
    </row>
    <row r="38" spans="1:22" ht="40.15" customHeight="1" x14ac:dyDescent="0.25">
      <c r="A38" s="540">
        <f>A37+1</f>
        <v>115</v>
      </c>
      <c r="B38" s="216" t="s">
        <v>41</v>
      </c>
      <c r="C38" s="217" t="s">
        <v>24</v>
      </c>
      <c r="D38" s="100">
        <f t="shared" si="0"/>
        <v>32</v>
      </c>
      <c r="E38" s="427" t="s">
        <v>174</v>
      </c>
      <c r="F38" s="909" t="s">
        <v>2801</v>
      </c>
      <c r="H38" s="922" t="s">
        <v>925</v>
      </c>
      <c r="J38" s="198" t="str">
        <f>IF(F38="","Belum Terisi",IF(OR(ISNUMBER(SEARCH("@",F38)),F38="-"),"","CEK"))</f>
        <v/>
      </c>
      <c r="K38" s="31" t="str">
        <f>IF(J38="Cek","Isi Alamat Email dengan Benar","")</f>
        <v/>
      </c>
      <c r="M38" s="21"/>
      <c r="N38" s="21"/>
      <c r="O38" s="21"/>
      <c r="P38" s="21"/>
      <c r="Q38" s="21"/>
      <c r="R38" s="21"/>
      <c r="S38" s="21"/>
      <c r="T38" s="21"/>
      <c r="U38" s="21"/>
      <c r="V38" s="21"/>
    </row>
    <row r="39" spans="1:22" ht="40.15" customHeight="1" x14ac:dyDescent="0.25">
      <c r="A39" s="542"/>
      <c r="B39" s="216" t="s">
        <v>139</v>
      </c>
      <c r="C39" s="217" t="s">
        <v>25</v>
      </c>
      <c r="D39" s="100">
        <f t="shared" si="0"/>
        <v>33</v>
      </c>
      <c r="E39" s="427" t="s">
        <v>174</v>
      </c>
      <c r="F39" s="694" t="s">
        <v>2802</v>
      </c>
      <c r="H39" s="922" t="s">
        <v>926</v>
      </c>
      <c r="J39" s="198" t="str">
        <f t="shared" ref="J39:J46" si="2">IF(LEN(F39)&gt;0,"","Belum Terisi")</f>
        <v/>
      </c>
      <c r="L39" s="31"/>
      <c r="M39" s="21"/>
      <c r="N39" s="21"/>
      <c r="O39" s="21"/>
      <c r="P39" s="21"/>
      <c r="Q39" s="21"/>
      <c r="R39" s="21"/>
      <c r="S39" s="21"/>
      <c r="T39" s="21"/>
      <c r="U39" s="21"/>
      <c r="V39" s="21"/>
    </row>
    <row r="40" spans="1:22" ht="40.15" customHeight="1" x14ac:dyDescent="0.25">
      <c r="A40" s="542"/>
      <c r="B40" s="216" t="s">
        <v>251</v>
      </c>
      <c r="C40" s="217" t="s">
        <v>26</v>
      </c>
      <c r="D40" s="100">
        <f t="shared" si="0"/>
        <v>34</v>
      </c>
      <c r="E40" s="427" t="s">
        <v>174</v>
      </c>
      <c r="F40" s="694" t="s">
        <v>2803</v>
      </c>
      <c r="H40" s="922" t="s">
        <v>927</v>
      </c>
      <c r="J40" s="198" t="str">
        <f t="shared" si="2"/>
        <v/>
      </c>
      <c r="M40" s="21"/>
      <c r="N40" s="21"/>
      <c r="O40" s="21"/>
      <c r="P40" s="21"/>
      <c r="Q40" s="21"/>
      <c r="R40" s="21"/>
      <c r="S40" s="21"/>
      <c r="T40" s="21"/>
      <c r="U40" s="21"/>
      <c r="V40" s="21"/>
    </row>
    <row r="41" spans="1:22" ht="40.15" customHeight="1" x14ac:dyDescent="0.25">
      <c r="A41" s="542"/>
      <c r="B41" s="216" t="s">
        <v>255</v>
      </c>
      <c r="C41" s="217" t="s">
        <v>664</v>
      </c>
      <c r="D41" s="100">
        <f t="shared" si="0"/>
        <v>35</v>
      </c>
      <c r="E41" s="427" t="s">
        <v>174</v>
      </c>
      <c r="F41" s="694" t="s">
        <v>240</v>
      </c>
      <c r="H41" s="922" t="s">
        <v>928</v>
      </c>
      <c r="J41" s="198" t="str">
        <f t="shared" si="2"/>
        <v/>
      </c>
      <c r="M41" s="21"/>
      <c r="N41" s="21"/>
      <c r="O41" s="21"/>
      <c r="P41" s="21"/>
      <c r="Q41" s="21"/>
      <c r="R41" s="21"/>
      <c r="S41" s="21"/>
      <c r="T41" s="21"/>
      <c r="U41" s="21"/>
      <c r="V41" s="21"/>
    </row>
    <row r="42" spans="1:22" ht="40.15" customHeight="1" x14ac:dyDescent="0.25">
      <c r="A42" s="542"/>
      <c r="B42" s="216" t="s">
        <v>252</v>
      </c>
      <c r="C42" s="217" t="s">
        <v>665</v>
      </c>
      <c r="D42" s="100">
        <f t="shared" si="0"/>
        <v>36</v>
      </c>
      <c r="E42" s="427" t="s">
        <v>174</v>
      </c>
      <c r="F42" s="694" t="s">
        <v>240</v>
      </c>
      <c r="H42" s="922" t="s">
        <v>929</v>
      </c>
      <c r="J42" s="198" t="str">
        <f t="shared" si="2"/>
        <v/>
      </c>
      <c r="M42" s="21"/>
      <c r="N42" s="21"/>
      <c r="O42" s="21"/>
      <c r="P42" s="21"/>
      <c r="Q42" s="21"/>
      <c r="R42" s="21"/>
      <c r="S42" s="21"/>
      <c r="T42" s="21"/>
      <c r="U42" s="21"/>
      <c r="V42" s="21"/>
    </row>
    <row r="43" spans="1:22" ht="40.15" customHeight="1" x14ac:dyDescent="0.25">
      <c r="A43" s="541"/>
      <c r="B43" s="216" t="s">
        <v>253</v>
      </c>
      <c r="C43" s="217" t="s">
        <v>27</v>
      </c>
      <c r="D43" s="100">
        <f t="shared" si="0"/>
        <v>37</v>
      </c>
      <c r="E43" s="427" t="s">
        <v>174</v>
      </c>
      <c r="F43" s="697" t="s">
        <v>2804</v>
      </c>
      <c r="H43" s="922" t="s">
        <v>930</v>
      </c>
      <c r="J43" s="198" t="str">
        <f t="shared" si="2"/>
        <v/>
      </c>
      <c r="M43" s="21"/>
      <c r="N43" s="21"/>
      <c r="O43" s="21"/>
      <c r="P43" s="21"/>
      <c r="Q43" s="21"/>
      <c r="R43" s="21"/>
      <c r="S43" s="21"/>
      <c r="T43" s="21"/>
      <c r="U43" s="21"/>
      <c r="V43" s="21"/>
    </row>
    <row r="44" spans="1:22" ht="30" customHeight="1" x14ac:dyDescent="0.25">
      <c r="A44" s="537">
        <f>A38+1</f>
        <v>116</v>
      </c>
      <c r="B44" s="216"/>
      <c r="C44" s="217" t="s">
        <v>28</v>
      </c>
      <c r="D44" s="100">
        <f t="shared" si="0"/>
        <v>38</v>
      </c>
      <c r="E44" s="427" t="s">
        <v>171</v>
      </c>
      <c r="F44" s="699">
        <v>5</v>
      </c>
      <c r="H44" s="922" t="s">
        <v>931</v>
      </c>
      <c r="J44" s="198" t="str">
        <f t="shared" si="2"/>
        <v/>
      </c>
      <c r="L44" s="31"/>
      <c r="M44" s="21"/>
      <c r="N44" s="21"/>
      <c r="O44" s="21"/>
      <c r="P44" s="21"/>
      <c r="Q44" s="21"/>
      <c r="R44" s="21"/>
      <c r="S44" s="21"/>
      <c r="T44" s="21"/>
      <c r="U44" s="21"/>
      <c r="V44" s="21"/>
    </row>
    <row r="45" spans="1:22" ht="30" customHeight="1" x14ac:dyDescent="0.25">
      <c r="A45" s="537">
        <f>A44+1</f>
        <v>117</v>
      </c>
      <c r="B45" s="216"/>
      <c r="C45" s="217" t="s">
        <v>29</v>
      </c>
      <c r="D45" s="100">
        <f t="shared" si="0"/>
        <v>39</v>
      </c>
      <c r="E45" s="427" t="s">
        <v>30</v>
      </c>
      <c r="F45" s="699" t="s">
        <v>2805</v>
      </c>
      <c r="H45" s="922" t="s">
        <v>932</v>
      </c>
      <c r="J45" s="198" t="str">
        <f t="shared" si="2"/>
        <v/>
      </c>
      <c r="M45" s="21"/>
      <c r="N45" s="21"/>
      <c r="O45" s="21"/>
      <c r="P45" s="21"/>
      <c r="Q45" s="21"/>
      <c r="R45" s="21"/>
      <c r="S45" s="21"/>
      <c r="T45" s="21"/>
      <c r="U45" s="21"/>
      <c r="V45" s="21"/>
    </row>
    <row r="46" spans="1:22" s="14" customFormat="1" ht="30" customHeight="1" x14ac:dyDescent="0.25">
      <c r="A46" s="537">
        <f>A45+1</f>
        <v>118</v>
      </c>
      <c r="B46" s="216"/>
      <c r="C46" s="217" t="s">
        <v>899</v>
      </c>
      <c r="D46" s="100">
        <f t="shared" si="0"/>
        <v>40</v>
      </c>
      <c r="E46" s="427" t="s">
        <v>171</v>
      </c>
      <c r="F46" s="699" t="s">
        <v>897</v>
      </c>
      <c r="G46" s="924"/>
      <c r="H46" s="922" t="s">
        <v>933</v>
      </c>
      <c r="I46" s="923"/>
      <c r="J46" s="198" t="str">
        <f t="shared" si="2"/>
        <v/>
      </c>
      <c r="K46" s="31"/>
      <c r="L46" s="43"/>
      <c r="M46" s="847"/>
      <c r="N46" s="847"/>
      <c r="O46" s="847"/>
      <c r="P46" s="847"/>
      <c r="Q46" s="847"/>
      <c r="R46" s="847"/>
      <c r="S46" s="847"/>
      <c r="T46" s="847"/>
      <c r="U46" s="847"/>
      <c r="V46" s="847"/>
    </row>
    <row r="47" spans="1:22" ht="30" customHeight="1" x14ac:dyDescent="0.25">
      <c r="A47" s="545" t="s">
        <v>993</v>
      </c>
      <c r="B47" s="221" t="s">
        <v>441</v>
      </c>
      <c r="C47" s="222"/>
      <c r="D47" s="430"/>
      <c r="E47" s="431"/>
      <c r="F47" s="701"/>
      <c r="G47" s="927"/>
      <c r="H47" s="928"/>
      <c r="I47" s="929"/>
      <c r="J47" s="199"/>
      <c r="M47" s="21" t="s">
        <v>667</v>
      </c>
      <c r="N47" s="21"/>
      <c r="O47" s="21"/>
      <c r="P47" s="21"/>
      <c r="Q47" s="21"/>
      <c r="R47" s="21"/>
      <c r="S47" s="21"/>
      <c r="T47" s="21"/>
      <c r="U47" s="21"/>
      <c r="V47" s="21"/>
    </row>
    <row r="48" spans="1:22" ht="30" customHeight="1" x14ac:dyDescent="0.25">
      <c r="A48" s="545" t="s">
        <v>994</v>
      </c>
      <c r="B48" s="221" t="s">
        <v>442</v>
      </c>
      <c r="C48" s="223"/>
      <c r="D48" s="430"/>
      <c r="E48" s="432"/>
      <c r="F48" s="702"/>
      <c r="H48" s="928"/>
      <c r="I48" s="929"/>
      <c r="J48" s="199"/>
      <c r="L48" s="31"/>
      <c r="M48" s="21" t="s">
        <v>667</v>
      </c>
      <c r="N48" s="21"/>
      <c r="O48" s="21"/>
      <c r="P48" s="21"/>
      <c r="Q48" s="21"/>
      <c r="R48" s="21"/>
      <c r="S48" s="21"/>
      <c r="T48" s="21"/>
      <c r="U48" s="21"/>
      <c r="V48" s="21"/>
    </row>
    <row r="49" spans="1:22" ht="30" customHeight="1" x14ac:dyDescent="0.25">
      <c r="A49" s="546" t="s">
        <v>443</v>
      </c>
      <c r="B49" s="224"/>
      <c r="C49" s="225"/>
      <c r="D49" s="430"/>
      <c r="E49" s="433"/>
      <c r="F49" s="703"/>
      <c r="G49" s="927"/>
      <c r="H49" s="928"/>
      <c r="I49" s="929"/>
      <c r="J49" s="199"/>
      <c r="M49" s="21" t="s">
        <v>667</v>
      </c>
      <c r="N49" s="21"/>
      <c r="O49" s="21"/>
      <c r="P49" s="21"/>
      <c r="Q49" s="21"/>
      <c r="R49" s="21"/>
      <c r="S49" s="21"/>
      <c r="T49" s="21"/>
      <c r="U49" s="21"/>
      <c r="V49" s="21"/>
    </row>
    <row r="50" spans="1:22" ht="30" customHeight="1" x14ac:dyDescent="0.25">
      <c r="A50" s="551" t="s">
        <v>995</v>
      </c>
      <c r="B50" s="226"/>
      <c r="C50" s="227" t="s">
        <v>444</v>
      </c>
      <c r="D50" s="434">
        <f>D46+1</f>
        <v>41</v>
      </c>
      <c r="E50" s="435" t="s">
        <v>171</v>
      </c>
      <c r="F50" s="686">
        <v>5</v>
      </c>
      <c r="G50" s="927" t="s">
        <v>629</v>
      </c>
      <c r="H50" s="928"/>
      <c r="I50" s="929"/>
      <c r="J50" s="198" t="str">
        <f>IF(F50="","Belum Terisi",IF(OR(F50=1,F50=3,F50=5),"","CEK"))</f>
        <v/>
      </c>
      <c r="K50" s="31" t="str">
        <f>IF(J50="CEK","Inputan Tidak Sesuai","")</f>
        <v/>
      </c>
      <c r="M50" s="21" t="s">
        <v>667</v>
      </c>
      <c r="N50" s="847" t="s">
        <v>668</v>
      </c>
      <c r="O50" s="21"/>
      <c r="P50" s="21"/>
      <c r="Q50" s="21"/>
      <c r="R50" s="21"/>
      <c r="S50" s="21"/>
      <c r="T50" s="21"/>
      <c r="U50" s="21"/>
      <c r="V50" s="21"/>
    </row>
    <row r="51" spans="1:22" ht="30" customHeight="1" x14ac:dyDescent="0.25">
      <c r="A51" s="546" t="s">
        <v>445</v>
      </c>
      <c r="B51" s="226"/>
      <c r="C51" s="222"/>
      <c r="D51" s="430"/>
      <c r="E51" s="436"/>
      <c r="F51" s="704"/>
      <c r="G51" s="927"/>
      <c r="H51" s="928"/>
      <c r="I51" s="929"/>
      <c r="J51" s="199"/>
      <c r="M51" s="21" t="s">
        <v>667</v>
      </c>
      <c r="N51" s="21"/>
      <c r="O51" s="21"/>
      <c r="P51" s="21"/>
      <c r="Q51" s="21"/>
      <c r="R51" s="21"/>
      <c r="S51" s="21"/>
      <c r="T51" s="21"/>
      <c r="U51" s="21"/>
      <c r="V51" s="21"/>
    </row>
    <row r="52" spans="1:22" ht="30" customHeight="1" x14ac:dyDescent="0.25">
      <c r="A52" s="547" t="str">
        <f>"A "&amp;(RIGHT(A50,3)+1)</f>
        <v>A 102</v>
      </c>
      <c r="B52" s="228" t="s">
        <v>41</v>
      </c>
      <c r="C52" s="229" t="s">
        <v>446</v>
      </c>
      <c r="D52" s="434">
        <f>D50+1</f>
        <v>42</v>
      </c>
      <c r="E52" s="435" t="s">
        <v>171</v>
      </c>
      <c r="F52" s="686" t="s">
        <v>846</v>
      </c>
      <c r="G52" s="927"/>
      <c r="H52" s="928"/>
      <c r="I52" s="929"/>
      <c r="J52" s="198" t="str">
        <f>IF(LEN(F52)&gt;0,"","Belum Terisi")</f>
        <v/>
      </c>
      <c r="L52" s="31"/>
      <c r="M52" s="21" t="s">
        <v>667</v>
      </c>
      <c r="N52" s="847" t="s">
        <v>668</v>
      </c>
      <c r="O52" s="21"/>
      <c r="P52" s="21"/>
      <c r="Q52" s="21"/>
      <c r="R52" s="21"/>
      <c r="S52" s="21"/>
      <c r="T52" s="21"/>
      <c r="U52" s="21"/>
      <c r="V52" s="21"/>
    </row>
    <row r="53" spans="1:22" ht="30" customHeight="1" x14ac:dyDescent="0.25">
      <c r="A53" s="548"/>
      <c r="B53" s="228" t="s">
        <v>139</v>
      </c>
      <c r="C53" s="230" t="s">
        <v>447</v>
      </c>
      <c r="D53" s="430"/>
      <c r="E53" s="436"/>
      <c r="F53" s="704"/>
      <c r="G53" s="927"/>
      <c r="H53" s="928"/>
      <c r="I53" s="929"/>
      <c r="J53" s="199"/>
      <c r="M53" s="21" t="s">
        <v>667</v>
      </c>
      <c r="N53" s="21"/>
      <c r="O53" s="21"/>
      <c r="P53" s="21"/>
      <c r="Q53" s="21"/>
      <c r="R53" s="21"/>
      <c r="S53" s="21"/>
      <c r="T53" s="21"/>
      <c r="U53" s="21"/>
      <c r="V53" s="21"/>
    </row>
    <row r="54" spans="1:22" ht="30" customHeight="1" x14ac:dyDescent="0.25">
      <c r="A54" s="548"/>
      <c r="B54" s="231"/>
      <c r="C54" s="230" t="s">
        <v>448</v>
      </c>
      <c r="D54" s="434">
        <f>D52+1</f>
        <v>43</v>
      </c>
      <c r="E54" s="435" t="s">
        <v>171</v>
      </c>
      <c r="F54" s="705" t="s">
        <v>449</v>
      </c>
      <c r="G54" s="927"/>
      <c r="H54" s="928" t="s">
        <v>449</v>
      </c>
      <c r="I54" s="929"/>
      <c r="J54" s="198" t="str">
        <f t="shared" ref="J54:J61" si="3">IF(F54="","Belum Terisi",IF(AND($F$52="Belum",F54="Diisi"),"CEK",IF(AND($F$52="Belum",COUNTIF($F$54:$F$61,"diisi")=8),"CEK",IF(AND($F$52="Sudah",COUNTIF($F$54:$F$61,"Tidak diisi")=8),"CEK",""))))</f>
        <v/>
      </c>
      <c r="K54" s="31" t="str">
        <f t="shared" ref="K54:K61" si="4">IF(J54="CEK",$F$52&amp;" Administrasi Umum Desa","")</f>
        <v/>
      </c>
      <c r="M54" s="21" t="s">
        <v>667</v>
      </c>
      <c r="N54" s="21"/>
      <c r="O54" s="21"/>
      <c r="P54" s="21"/>
      <c r="Q54" s="21"/>
      <c r="R54" s="21"/>
      <c r="S54" s="21"/>
      <c r="T54" s="21"/>
      <c r="U54" s="21"/>
      <c r="V54" s="21"/>
    </row>
    <row r="55" spans="1:22" ht="30" customHeight="1" x14ac:dyDescent="0.25">
      <c r="A55" s="548"/>
      <c r="B55" s="232"/>
      <c r="C55" s="230" t="s">
        <v>2610</v>
      </c>
      <c r="D55" s="434">
        <f t="shared" ref="D55:D62" si="5">D54+1</f>
        <v>44</v>
      </c>
      <c r="E55" s="435" t="s">
        <v>171</v>
      </c>
      <c r="F55" s="706" t="s">
        <v>449</v>
      </c>
      <c r="G55" s="927"/>
      <c r="H55" s="928" t="s">
        <v>450</v>
      </c>
      <c r="I55" s="929"/>
      <c r="J55" s="198" t="str">
        <f t="shared" si="3"/>
        <v/>
      </c>
      <c r="K55" s="31" t="str">
        <f t="shared" si="4"/>
        <v/>
      </c>
      <c r="M55" s="21" t="s">
        <v>667</v>
      </c>
      <c r="N55" s="21"/>
      <c r="O55" s="21"/>
      <c r="P55" s="21"/>
      <c r="Q55" s="21"/>
      <c r="R55" s="21"/>
      <c r="S55" s="21"/>
      <c r="T55" s="21"/>
      <c r="U55" s="21"/>
      <c r="V55" s="21"/>
    </row>
    <row r="56" spans="1:22" ht="30" customHeight="1" x14ac:dyDescent="0.25">
      <c r="A56" s="548"/>
      <c r="B56" s="232"/>
      <c r="C56" s="230" t="s">
        <v>2611</v>
      </c>
      <c r="D56" s="434">
        <f t="shared" si="5"/>
        <v>45</v>
      </c>
      <c r="E56" s="435" t="s">
        <v>171</v>
      </c>
      <c r="F56" s="706" t="s">
        <v>449</v>
      </c>
      <c r="G56" s="927"/>
      <c r="H56" s="928"/>
      <c r="I56" s="929"/>
      <c r="J56" s="198" t="str">
        <f t="shared" si="3"/>
        <v/>
      </c>
      <c r="K56" s="31" t="str">
        <f t="shared" si="4"/>
        <v/>
      </c>
      <c r="M56" s="21" t="s">
        <v>667</v>
      </c>
      <c r="N56" s="21"/>
      <c r="O56" s="21"/>
      <c r="P56" s="21"/>
      <c r="Q56" s="21"/>
      <c r="R56" s="21"/>
      <c r="S56" s="21"/>
      <c r="T56" s="21"/>
      <c r="U56" s="21"/>
      <c r="V56" s="21"/>
    </row>
    <row r="57" spans="1:22" ht="30" customHeight="1" x14ac:dyDescent="0.25">
      <c r="A57" s="548"/>
      <c r="B57" s="232"/>
      <c r="C57" s="230" t="s">
        <v>2612</v>
      </c>
      <c r="D57" s="434">
        <f t="shared" si="5"/>
        <v>46</v>
      </c>
      <c r="E57" s="435" t="s">
        <v>171</v>
      </c>
      <c r="F57" s="706" t="s">
        <v>449</v>
      </c>
      <c r="G57" s="927"/>
      <c r="H57" s="928"/>
      <c r="I57" s="929"/>
      <c r="J57" s="198" t="str">
        <f t="shared" si="3"/>
        <v/>
      </c>
      <c r="K57" s="31" t="str">
        <f t="shared" si="4"/>
        <v/>
      </c>
      <c r="M57" s="21" t="s">
        <v>667</v>
      </c>
      <c r="N57" s="21"/>
      <c r="O57" s="21"/>
      <c r="P57" s="21"/>
      <c r="Q57" s="21"/>
      <c r="R57" s="21"/>
      <c r="S57" s="21"/>
      <c r="T57" s="21"/>
      <c r="U57" s="21"/>
      <c r="V57" s="21"/>
    </row>
    <row r="58" spans="1:22" ht="30" customHeight="1" x14ac:dyDescent="0.25">
      <c r="A58" s="548"/>
      <c r="B58" s="232"/>
      <c r="C58" s="230" t="s">
        <v>2613</v>
      </c>
      <c r="D58" s="434">
        <f t="shared" si="5"/>
        <v>47</v>
      </c>
      <c r="E58" s="435" t="s">
        <v>171</v>
      </c>
      <c r="F58" s="706" t="s">
        <v>449</v>
      </c>
      <c r="G58" s="927"/>
      <c r="H58" s="928"/>
      <c r="I58" s="929"/>
      <c r="J58" s="198" t="str">
        <f t="shared" si="3"/>
        <v/>
      </c>
      <c r="K58" s="31" t="str">
        <f t="shared" si="4"/>
        <v/>
      </c>
      <c r="M58" s="21" t="s">
        <v>667</v>
      </c>
      <c r="N58" s="21"/>
      <c r="O58" s="21"/>
      <c r="P58" s="21"/>
      <c r="Q58" s="21"/>
      <c r="R58" s="21"/>
      <c r="S58" s="21"/>
      <c r="T58" s="21"/>
      <c r="U58" s="21"/>
      <c r="V58" s="21"/>
    </row>
    <row r="59" spans="1:22" ht="30" customHeight="1" x14ac:dyDescent="0.25">
      <c r="A59" s="548"/>
      <c r="B59" s="232"/>
      <c r="C59" s="230" t="s">
        <v>2614</v>
      </c>
      <c r="D59" s="434">
        <f t="shared" si="5"/>
        <v>48</v>
      </c>
      <c r="E59" s="435" t="s">
        <v>171</v>
      </c>
      <c r="F59" s="706" t="s">
        <v>449</v>
      </c>
      <c r="G59" s="927"/>
      <c r="H59" s="928"/>
      <c r="I59" s="929"/>
      <c r="J59" s="198" t="str">
        <f t="shared" si="3"/>
        <v/>
      </c>
      <c r="K59" s="31" t="str">
        <f t="shared" si="4"/>
        <v/>
      </c>
      <c r="M59" s="21" t="s">
        <v>667</v>
      </c>
      <c r="N59" s="21"/>
      <c r="O59" s="21"/>
      <c r="P59" s="21"/>
      <c r="Q59" s="21"/>
      <c r="R59" s="21"/>
      <c r="S59" s="21"/>
      <c r="T59" s="21"/>
      <c r="U59" s="21"/>
      <c r="V59" s="21"/>
    </row>
    <row r="60" spans="1:22" ht="30" customHeight="1" x14ac:dyDescent="0.25">
      <c r="A60" s="548"/>
      <c r="B60" s="232"/>
      <c r="C60" s="230" t="s">
        <v>2615</v>
      </c>
      <c r="D60" s="434">
        <f t="shared" si="5"/>
        <v>49</v>
      </c>
      <c r="E60" s="435" t="s">
        <v>171</v>
      </c>
      <c r="F60" s="706" t="s">
        <v>449</v>
      </c>
      <c r="G60" s="927"/>
      <c r="H60" s="928"/>
      <c r="I60" s="929"/>
      <c r="J60" s="198" t="str">
        <f t="shared" si="3"/>
        <v/>
      </c>
      <c r="K60" s="31" t="str">
        <f t="shared" si="4"/>
        <v/>
      </c>
      <c r="M60" s="21" t="s">
        <v>667</v>
      </c>
      <c r="N60" s="21"/>
      <c r="O60" s="21"/>
      <c r="P60" s="21"/>
      <c r="Q60" s="21"/>
      <c r="R60" s="21"/>
      <c r="S60" s="21"/>
      <c r="T60" s="21"/>
      <c r="U60" s="21"/>
      <c r="V60" s="21"/>
    </row>
    <row r="61" spans="1:22" ht="30" customHeight="1" x14ac:dyDescent="0.25">
      <c r="A61" s="549"/>
      <c r="B61" s="233"/>
      <c r="C61" s="230" t="s">
        <v>2616</v>
      </c>
      <c r="D61" s="434">
        <f t="shared" si="5"/>
        <v>50</v>
      </c>
      <c r="E61" s="435" t="s">
        <v>171</v>
      </c>
      <c r="F61" s="707" t="s">
        <v>449</v>
      </c>
      <c r="G61" s="927"/>
      <c r="H61" s="928"/>
      <c r="I61" s="929"/>
      <c r="J61" s="198" t="str">
        <f t="shared" si="3"/>
        <v/>
      </c>
      <c r="K61" s="31" t="str">
        <f t="shared" si="4"/>
        <v/>
      </c>
      <c r="M61" s="21" t="s">
        <v>667</v>
      </c>
      <c r="N61" s="21"/>
      <c r="O61" s="21"/>
      <c r="P61" s="21"/>
      <c r="Q61" s="21"/>
      <c r="R61" s="21"/>
      <c r="S61" s="21"/>
      <c r="T61" s="21"/>
      <c r="U61" s="21"/>
      <c r="V61" s="21"/>
    </row>
    <row r="62" spans="1:22" ht="30" customHeight="1" x14ac:dyDescent="0.25">
      <c r="A62" s="547" t="str">
        <f>"A "&amp;(RIGHT(A52,3)+1)</f>
        <v>A 103</v>
      </c>
      <c r="B62" s="228" t="s">
        <v>41</v>
      </c>
      <c r="C62" s="229" t="s">
        <v>451</v>
      </c>
      <c r="D62" s="434">
        <f t="shared" si="5"/>
        <v>51</v>
      </c>
      <c r="E62" s="435" t="s">
        <v>171</v>
      </c>
      <c r="F62" s="686" t="s">
        <v>846</v>
      </c>
      <c r="G62" s="927"/>
      <c r="H62" s="928"/>
      <c r="I62" s="929"/>
      <c r="J62" s="198" t="str">
        <f>IF(LEN(F62)&gt;0,"","Belum Terisi")</f>
        <v/>
      </c>
      <c r="M62" s="21" t="s">
        <v>667</v>
      </c>
      <c r="N62" s="847" t="s">
        <v>668</v>
      </c>
      <c r="O62" s="21"/>
      <c r="P62" s="21"/>
      <c r="Q62" s="21"/>
      <c r="R62" s="21"/>
      <c r="S62" s="21"/>
      <c r="T62" s="21"/>
      <c r="U62" s="21"/>
      <c r="V62" s="21"/>
    </row>
    <row r="63" spans="1:22" ht="30" customHeight="1" x14ac:dyDescent="0.25">
      <c r="A63" s="548"/>
      <c r="B63" s="228" t="s">
        <v>139</v>
      </c>
      <c r="C63" s="230" t="s">
        <v>452</v>
      </c>
      <c r="D63" s="430"/>
      <c r="E63" s="436"/>
      <c r="F63" s="708"/>
      <c r="G63" s="927"/>
      <c r="H63" s="928"/>
      <c r="I63" s="929"/>
      <c r="J63" s="199"/>
      <c r="M63" s="21" t="s">
        <v>667</v>
      </c>
      <c r="N63" s="21"/>
      <c r="O63" s="21"/>
      <c r="P63" s="21"/>
      <c r="Q63" s="21"/>
      <c r="R63" s="21"/>
      <c r="S63" s="21"/>
      <c r="T63" s="21"/>
      <c r="U63" s="21"/>
      <c r="V63" s="21"/>
    </row>
    <row r="64" spans="1:22" ht="30" customHeight="1" x14ac:dyDescent="0.25">
      <c r="A64" s="548"/>
      <c r="B64" s="231"/>
      <c r="C64" s="230" t="s">
        <v>453</v>
      </c>
      <c r="D64" s="434">
        <f>D62+1</f>
        <v>52</v>
      </c>
      <c r="E64" s="435" t="s">
        <v>171</v>
      </c>
      <c r="F64" s="705" t="s">
        <v>449</v>
      </c>
      <c r="G64" s="927"/>
      <c r="H64" s="928"/>
      <c r="I64" s="929"/>
      <c r="J64" s="198" t="str">
        <f>IF(F64="","Belum Terisi",IF(AND($F$62="Belum",F64="Diisi"),"CEK",IF(AND($F$62="Belum",COUNTIF($F$64:$F$68,"diisi")=5),"CEK",IF(AND($F$62="Sudah",COUNTIF($F$64:$F$68,"Tidak diisi")=5),"CEK",""))))</f>
        <v/>
      </c>
      <c r="K64" s="31" t="str">
        <f>IF(J64="CEK",$F$62&amp;" Administrasi Kependudukan Desa","")</f>
        <v/>
      </c>
      <c r="M64" s="21" t="s">
        <v>667</v>
      </c>
      <c r="N64" s="21"/>
      <c r="O64" s="21"/>
      <c r="P64" s="21"/>
      <c r="Q64" s="21"/>
      <c r="R64" s="21"/>
      <c r="S64" s="21"/>
      <c r="T64" s="21"/>
      <c r="U64" s="21"/>
      <c r="V64" s="21"/>
    </row>
    <row r="65" spans="1:22" ht="30" customHeight="1" x14ac:dyDescent="0.25">
      <c r="A65" s="548"/>
      <c r="B65" s="232"/>
      <c r="C65" s="230" t="s">
        <v>454</v>
      </c>
      <c r="D65" s="434">
        <f>D64+1</f>
        <v>53</v>
      </c>
      <c r="E65" s="435" t="s">
        <v>171</v>
      </c>
      <c r="F65" s="706" t="s">
        <v>449</v>
      </c>
      <c r="G65" s="927"/>
      <c r="H65" s="928"/>
      <c r="I65" s="929"/>
      <c r="J65" s="198" t="str">
        <f>IF(F65="","Belum Terisi",IF(AND($F$62="Belum",F65="Diisi"),"CEK",IF(AND($F$62="Belum",COUNTIF($F$64:$F$68,"diisi")=5),"CEK",IF(AND($F$62="Sudah",COUNTIF($F$64:$F$68,"Tidak diisi")=5),"CEK",""))))</f>
        <v/>
      </c>
      <c r="K65" s="31" t="str">
        <f>IF(J65="CEK",$F$62&amp;" Administrasi Kependudukan Desa","")</f>
        <v/>
      </c>
      <c r="M65" s="21" t="s">
        <v>667</v>
      </c>
      <c r="N65" s="21"/>
      <c r="O65" s="21"/>
      <c r="P65" s="21"/>
      <c r="Q65" s="21"/>
      <c r="R65" s="21"/>
      <c r="S65" s="21"/>
      <c r="T65" s="21"/>
      <c r="U65" s="21"/>
      <c r="V65" s="21"/>
    </row>
    <row r="66" spans="1:22" ht="30" customHeight="1" x14ac:dyDescent="0.25">
      <c r="A66" s="548"/>
      <c r="B66" s="232"/>
      <c r="C66" s="230" t="s">
        <v>455</v>
      </c>
      <c r="D66" s="434">
        <f>D65+1</f>
        <v>54</v>
      </c>
      <c r="E66" s="435" t="s">
        <v>171</v>
      </c>
      <c r="F66" s="706" t="s">
        <v>449</v>
      </c>
      <c r="G66" s="927"/>
      <c r="H66" s="928"/>
      <c r="I66" s="929"/>
      <c r="J66" s="198" t="str">
        <f>IF(F66="","Belum Terisi",IF(AND($F$62="Belum",F66="Diisi"),"CEK",IF(AND($F$62="Belum",COUNTIF($F$64:$F$68,"diisi")=5),"CEK",IF(AND($F$62="Sudah",COUNTIF($F$64:$F$68,"Tidak diisi")=5),"CEK",""))))</f>
        <v/>
      </c>
      <c r="K66" s="31" t="str">
        <f>IF(J66="CEK",$F$62&amp;" Administrasi Kependudukan Desa","")</f>
        <v/>
      </c>
      <c r="M66" s="21" t="s">
        <v>667</v>
      </c>
      <c r="N66" s="21"/>
      <c r="O66" s="21"/>
      <c r="P66" s="21"/>
      <c r="Q66" s="21"/>
      <c r="R66" s="21"/>
      <c r="S66" s="21"/>
      <c r="T66" s="21"/>
      <c r="U66" s="21"/>
      <c r="V66" s="21"/>
    </row>
    <row r="67" spans="1:22" ht="30" customHeight="1" x14ac:dyDescent="0.25">
      <c r="A67" s="548"/>
      <c r="B67" s="232"/>
      <c r="C67" s="230" t="s">
        <v>456</v>
      </c>
      <c r="D67" s="434">
        <f>D66+1</f>
        <v>55</v>
      </c>
      <c r="E67" s="435" t="s">
        <v>171</v>
      </c>
      <c r="F67" s="706" t="s">
        <v>449</v>
      </c>
      <c r="G67" s="927"/>
      <c r="H67" s="928"/>
      <c r="I67" s="929"/>
      <c r="J67" s="198" t="str">
        <f>IF(F67="","Belum Terisi",IF(AND($F$62="Belum",F67="Diisi"),"CEK",IF(AND($F$62="Belum",COUNTIF($F$64:$F$68,"diisi")=5),"CEK",IF(AND($F$62="Sudah",COUNTIF($F$64:$F$68,"Tidak diisi")=5),"CEK",""))))</f>
        <v/>
      </c>
      <c r="K67" s="31" t="str">
        <f>IF(J67="CEK",$F$62&amp;" Administrasi Kependudukan Desa","")</f>
        <v/>
      </c>
      <c r="M67" s="21" t="s">
        <v>667</v>
      </c>
      <c r="N67" s="21"/>
      <c r="O67" s="21"/>
      <c r="P67" s="21"/>
      <c r="Q67" s="21"/>
      <c r="R67" s="21"/>
      <c r="S67" s="21"/>
      <c r="T67" s="21"/>
      <c r="U67" s="21"/>
      <c r="V67" s="21"/>
    </row>
    <row r="68" spans="1:22" ht="30" customHeight="1" x14ac:dyDescent="0.25">
      <c r="A68" s="549"/>
      <c r="B68" s="233"/>
      <c r="C68" s="230" t="s">
        <v>457</v>
      </c>
      <c r="D68" s="434">
        <f>D67+1</f>
        <v>56</v>
      </c>
      <c r="E68" s="435" t="s">
        <v>171</v>
      </c>
      <c r="F68" s="707" t="s">
        <v>449</v>
      </c>
      <c r="G68" s="927"/>
      <c r="H68" s="928"/>
      <c r="I68" s="929"/>
      <c r="J68" s="198" t="str">
        <f>IF(F68="","Belum Terisi",IF(AND($F$62="Belum",F68="Diisi"),"CEK",IF(AND($F$62="Belum",COUNTIF($F$64:$F$68,"diisi")=5),"CEK",IF(AND($F$62="Sudah",COUNTIF($F$64:$F$68,"Tidak diisi")=5),"CEK",""))))</f>
        <v/>
      </c>
      <c r="K68" s="31" t="str">
        <f>IF(J68="CEK",$F$62&amp;" Administrasi Kependudukan Desa","")</f>
        <v/>
      </c>
      <c r="M68" s="21" t="s">
        <v>667</v>
      </c>
      <c r="N68" s="21"/>
      <c r="O68" s="21"/>
      <c r="P68" s="21"/>
      <c r="Q68" s="21"/>
      <c r="R68" s="21"/>
      <c r="S68" s="21"/>
      <c r="T68" s="21"/>
      <c r="U68" s="21"/>
      <c r="V68" s="21"/>
    </row>
    <row r="69" spans="1:22" ht="30" customHeight="1" x14ac:dyDescent="0.25">
      <c r="A69" s="547" t="str">
        <f>"A "&amp;(RIGHT(A62,3)+1)</f>
        <v>A 104</v>
      </c>
      <c r="B69" s="228" t="s">
        <v>41</v>
      </c>
      <c r="C69" s="229" t="s">
        <v>458</v>
      </c>
      <c r="D69" s="434">
        <f>D68+1</f>
        <v>57</v>
      </c>
      <c r="E69" s="435" t="s">
        <v>171</v>
      </c>
      <c r="F69" s="705" t="s">
        <v>846</v>
      </c>
      <c r="G69" s="927"/>
      <c r="H69" s="928"/>
      <c r="I69" s="929"/>
      <c r="J69" s="198" t="str">
        <f>IF(LEN(F69)&gt;0,"","Belum Terisi")</f>
        <v/>
      </c>
      <c r="M69" s="21" t="s">
        <v>667</v>
      </c>
      <c r="N69" s="21"/>
      <c r="O69" s="21"/>
      <c r="P69" s="21"/>
      <c r="Q69" s="21"/>
      <c r="R69" s="21"/>
      <c r="S69" s="21"/>
      <c r="T69" s="21"/>
      <c r="U69" s="21"/>
      <c r="V69" s="21"/>
    </row>
    <row r="70" spans="1:22" ht="30" customHeight="1" x14ac:dyDescent="0.25">
      <c r="A70" s="548"/>
      <c r="B70" s="228" t="s">
        <v>139</v>
      </c>
      <c r="C70" s="230" t="s">
        <v>459</v>
      </c>
      <c r="D70" s="437"/>
      <c r="E70" s="436"/>
      <c r="F70" s="709"/>
      <c r="G70" s="927"/>
      <c r="H70" s="928"/>
      <c r="I70" s="929"/>
      <c r="J70" s="199"/>
      <c r="M70" s="21" t="s">
        <v>667</v>
      </c>
      <c r="N70" s="21"/>
      <c r="O70" s="21"/>
      <c r="P70" s="21"/>
      <c r="Q70" s="21"/>
      <c r="R70" s="21"/>
      <c r="S70" s="21"/>
      <c r="T70" s="21"/>
      <c r="U70" s="21"/>
      <c r="V70" s="21"/>
    </row>
    <row r="71" spans="1:22" ht="30" customHeight="1" x14ac:dyDescent="0.25">
      <c r="A71" s="548"/>
      <c r="B71" s="234"/>
      <c r="C71" s="230" t="s">
        <v>460</v>
      </c>
      <c r="D71" s="434">
        <f>D69+1</f>
        <v>58</v>
      </c>
      <c r="E71" s="435" t="s">
        <v>171</v>
      </c>
      <c r="F71" s="705" t="s">
        <v>449</v>
      </c>
      <c r="G71" s="927"/>
      <c r="H71" s="928"/>
      <c r="I71" s="929"/>
      <c r="J71" s="198" t="str">
        <f>IF(F71="","Belum Terisi",IF(AND($F$69="Belum",F71="Diisi"),"CEK",IF(AND($F$69="Belum",COUNTIF($F$71:$F$76,"diisi")=6),"CEK",IF(AND($F$69="Sudah",COUNTIF($F$71:$F$76,"Tidak diisi")=6),"CEK",""))))</f>
        <v/>
      </c>
      <c r="K71" s="31" t="str">
        <f t="shared" ref="K71:K76" si="6">IF(J71="CEK",$F$69&amp;" Administrasi Keuangan Desa","")</f>
        <v/>
      </c>
      <c r="M71" s="21" t="s">
        <v>667</v>
      </c>
      <c r="N71" s="21"/>
      <c r="O71" s="21"/>
      <c r="P71" s="21"/>
      <c r="Q71" s="21"/>
      <c r="R71" s="21"/>
      <c r="S71" s="21"/>
      <c r="T71" s="21"/>
      <c r="U71" s="21"/>
      <c r="V71" s="21"/>
    </row>
    <row r="72" spans="1:22" ht="30" customHeight="1" x14ac:dyDescent="0.25">
      <c r="A72" s="548"/>
      <c r="B72" s="232"/>
      <c r="C72" s="230" t="s">
        <v>461</v>
      </c>
      <c r="D72" s="434">
        <f t="shared" ref="D72:D77" si="7">D71+1</f>
        <v>59</v>
      </c>
      <c r="E72" s="435" t="s">
        <v>171</v>
      </c>
      <c r="F72" s="706" t="s">
        <v>449</v>
      </c>
      <c r="G72" s="927"/>
      <c r="H72" s="928"/>
      <c r="I72" s="929"/>
      <c r="J72" s="198" t="str">
        <f>IF(F72="","Belum Terisi",IF(AND($F$69="Belum",F72="Diisi"),"CEK",IF(AND($F$69="Belum",COUNTIF($F$71:$F$76,"diisi")=5),"CEK",IF(AND($F$69="Sudah",COUNTIF($F$71:$F$76,"Tidak diisi")=5),"CEK",""))))</f>
        <v/>
      </c>
      <c r="K72" s="31" t="str">
        <f t="shared" si="6"/>
        <v/>
      </c>
      <c r="M72" s="21" t="s">
        <v>667</v>
      </c>
      <c r="N72" s="21"/>
      <c r="O72" s="21"/>
      <c r="P72" s="21"/>
      <c r="Q72" s="21"/>
      <c r="R72" s="21"/>
      <c r="S72" s="21"/>
      <c r="T72" s="21"/>
      <c r="U72" s="21"/>
      <c r="V72" s="21"/>
    </row>
    <row r="73" spans="1:22" ht="30" customHeight="1" x14ac:dyDescent="0.25">
      <c r="A73" s="548"/>
      <c r="B73" s="232"/>
      <c r="C73" s="230" t="s">
        <v>462</v>
      </c>
      <c r="D73" s="434">
        <f t="shared" si="7"/>
        <v>60</v>
      </c>
      <c r="E73" s="435" t="s">
        <v>171</v>
      </c>
      <c r="F73" s="706" t="s">
        <v>449</v>
      </c>
      <c r="G73" s="927"/>
      <c r="H73" s="928"/>
      <c r="I73" s="929"/>
      <c r="J73" s="198" t="str">
        <f>IF(F73="","Belum Terisi",IF(AND($F$69="Belum",F73="Diisi"),"CEK",IF(AND($F$69="Belum",COUNTIF($F$71:$F$76,"diisi")=5),"CEK",IF(AND($F$69="Sudah",COUNTIF($F$71:$F$76,"Tidak diisi")=5),"CEK",""))))</f>
        <v/>
      </c>
      <c r="K73" s="31" t="str">
        <f t="shared" si="6"/>
        <v/>
      </c>
      <c r="M73" s="21" t="s">
        <v>667</v>
      </c>
      <c r="N73" s="21"/>
      <c r="O73" s="21"/>
      <c r="P73" s="21"/>
      <c r="Q73" s="21"/>
      <c r="R73" s="21"/>
      <c r="S73" s="21"/>
      <c r="T73" s="21"/>
      <c r="U73" s="21"/>
      <c r="V73" s="21"/>
    </row>
    <row r="74" spans="1:22" ht="30" customHeight="1" x14ac:dyDescent="0.25">
      <c r="A74" s="548"/>
      <c r="B74" s="232"/>
      <c r="C74" s="230" t="s">
        <v>463</v>
      </c>
      <c r="D74" s="434">
        <f t="shared" si="7"/>
        <v>61</v>
      </c>
      <c r="E74" s="435" t="s">
        <v>171</v>
      </c>
      <c r="F74" s="706" t="s">
        <v>449</v>
      </c>
      <c r="G74" s="927"/>
      <c r="H74" s="928"/>
      <c r="I74" s="929"/>
      <c r="J74" s="198" t="str">
        <f>IF(F74="","Belum Terisi",IF(AND($F$69="Belum",F74="Diisi"),"CEK",IF(AND($F$69="Belum",COUNTIF($F$71:$F$76,"diisi")=5),"CEK",IF(AND($F$69="Sudah",COUNTIF($F$71:$F$76,"Tidak diisi")=5),"CEK",""))))</f>
        <v/>
      </c>
      <c r="K74" s="31" t="str">
        <f t="shared" si="6"/>
        <v/>
      </c>
      <c r="M74" s="21" t="s">
        <v>667</v>
      </c>
      <c r="N74" s="21"/>
      <c r="O74" s="21"/>
      <c r="P74" s="21"/>
      <c r="Q74" s="21"/>
      <c r="R74" s="21"/>
      <c r="S74" s="21"/>
      <c r="T74" s="21"/>
      <c r="U74" s="21"/>
      <c r="V74" s="21"/>
    </row>
    <row r="75" spans="1:22" ht="30" customHeight="1" x14ac:dyDescent="0.25">
      <c r="A75" s="548"/>
      <c r="B75" s="232"/>
      <c r="C75" s="230" t="s">
        <v>464</v>
      </c>
      <c r="D75" s="434">
        <f t="shared" si="7"/>
        <v>62</v>
      </c>
      <c r="E75" s="435" t="s">
        <v>171</v>
      </c>
      <c r="F75" s="706" t="s">
        <v>449</v>
      </c>
      <c r="G75" s="927"/>
      <c r="H75" s="928"/>
      <c r="I75" s="929"/>
      <c r="J75" s="198" t="str">
        <f>IF(F75="","Belum Terisi",IF(AND($F$69="Belum",F75="Diisi"),"CEK",IF(AND($F$69="Belum",COUNTIF($F$71:$F$76,"diisi")=5),"CEK",IF(AND($F$69="Sudah",COUNTIF($F$71:$F$76,"Tidak diisi")=5),"CEK",""))))</f>
        <v/>
      </c>
      <c r="K75" s="31" t="str">
        <f t="shared" si="6"/>
        <v/>
      </c>
      <c r="M75" s="21" t="s">
        <v>667</v>
      </c>
      <c r="N75" s="21"/>
      <c r="O75" s="21"/>
      <c r="P75" s="21"/>
      <c r="Q75" s="21"/>
      <c r="R75" s="21"/>
      <c r="S75" s="21"/>
      <c r="T75" s="21"/>
      <c r="U75" s="21"/>
      <c r="V75" s="21"/>
    </row>
    <row r="76" spans="1:22" ht="30" customHeight="1" x14ac:dyDescent="0.25">
      <c r="A76" s="549"/>
      <c r="B76" s="233"/>
      <c r="C76" s="230" t="s">
        <v>465</v>
      </c>
      <c r="D76" s="434">
        <f t="shared" si="7"/>
        <v>63</v>
      </c>
      <c r="E76" s="435" t="s">
        <v>171</v>
      </c>
      <c r="F76" s="707" t="s">
        <v>449</v>
      </c>
      <c r="G76" s="927"/>
      <c r="H76" s="928"/>
      <c r="I76" s="929"/>
      <c r="J76" s="198" t="str">
        <f>IF(F76="","Belum Terisi",IF(AND($F$69="Belum",F76="Diisi"),"CEK",IF(AND($F$69="Belum",COUNTIF($F$71:$F$76,"diisi")=5),"CEK",IF(AND($F$69="Sudah",COUNTIF($F$71:$F$76,"Tidak diisi")=5),"CEK",""))))</f>
        <v/>
      </c>
      <c r="K76" s="31" t="str">
        <f t="shared" si="6"/>
        <v/>
      </c>
      <c r="M76" s="21" t="s">
        <v>667</v>
      </c>
      <c r="N76" s="21"/>
      <c r="O76" s="21"/>
      <c r="P76" s="21"/>
      <c r="Q76" s="21"/>
      <c r="R76" s="21"/>
      <c r="S76" s="21"/>
      <c r="T76" s="21"/>
      <c r="U76" s="21"/>
      <c r="V76" s="21"/>
    </row>
    <row r="77" spans="1:22" ht="30" customHeight="1" x14ac:dyDescent="0.25">
      <c r="A77" s="547" t="str">
        <f>"A "&amp;(RIGHT(A69,3)+1)</f>
        <v>A 105</v>
      </c>
      <c r="B77" s="228" t="s">
        <v>41</v>
      </c>
      <c r="C77" s="229" t="s">
        <v>466</v>
      </c>
      <c r="D77" s="434">
        <f t="shared" si="7"/>
        <v>64</v>
      </c>
      <c r="E77" s="435" t="s">
        <v>171</v>
      </c>
      <c r="F77" s="686" t="s">
        <v>846</v>
      </c>
      <c r="G77" s="927"/>
      <c r="H77" s="928"/>
      <c r="I77" s="929"/>
      <c r="J77" s="198" t="str">
        <f>IF(LEN(F77)&gt;0,"","Belum Terisi")</f>
        <v/>
      </c>
      <c r="M77" s="21" t="s">
        <v>667</v>
      </c>
      <c r="N77" s="21"/>
      <c r="O77" s="21"/>
      <c r="P77" s="21"/>
      <c r="Q77" s="21"/>
      <c r="R77" s="21"/>
      <c r="S77" s="21"/>
      <c r="T77" s="21"/>
      <c r="U77" s="21"/>
      <c r="V77" s="21"/>
    </row>
    <row r="78" spans="1:22" ht="30" customHeight="1" x14ac:dyDescent="0.25">
      <c r="A78" s="548"/>
      <c r="B78" s="228" t="s">
        <v>139</v>
      </c>
      <c r="C78" s="230" t="s">
        <v>581</v>
      </c>
      <c r="D78" s="430"/>
      <c r="E78" s="436"/>
      <c r="F78" s="709"/>
      <c r="G78" s="927"/>
      <c r="H78" s="928"/>
      <c r="I78" s="929"/>
      <c r="J78" s="199"/>
      <c r="M78" s="21" t="s">
        <v>667</v>
      </c>
      <c r="N78" s="21"/>
      <c r="O78" s="21"/>
      <c r="P78" s="21"/>
      <c r="Q78" s="21"/>
      <c r="R78" s="21"/>
      <c r="S78" s="21"/>
      <c r="T78" s="21"/>
      <c r="U78" s="21"/>
      <c r="V78" s="21"/>
    </row>
    <row r="79" spans="1:22" ht="30" customHeight="1" x14ac:dyDescent="0.25">
      <c r="A79" s="548"/>
      <c r="B79" s="231"/>
      <c r="C79" s="230" t="s">
        <v>467</v>
      </c>
      <c r="D79" s="434">
        <f>D77+1</f>
        <v>65</v>
      </c>
      <c r="E79" s="435" t="s">
        <v>171</v>
      </c>
      <c r="F79" s="705" t="s">
        <v>449</v>
      </c>
      <c r="G79" s="927"/>
      <c r="H79" s="928"/>
      <c r="I79" s="929"/>
      <c r="J79" s="198" t="str">
        <f>IF(F79="","Belum Terisi",IF(AND($F$77="Belum",F79="Diisi"),"CEK",IF(AND($F$77="Belum",COUNTIF($F$79:$F$82,"diisi")=4),"CEK",IF(AND($F$77="Sudah",COUNTIF($F$79:$F$82,"Tidak diisi")=4),"CEK",""))))</f>
        <v/>
      </c>
      <c r="K79" s="31" t="str">
        <f>IF(J79="CEK",$F$77&amp;" Administrasi Pembangunan Desa","")</f>
        <v/>
      </c>
      <c r="M79" s="21" t="s">
        <v>667</v>
      </c>
      <c r="N79" s="21"/>
      <c r="O79" s="21"/>
      <c r="P79" s="21"/>
      <c r="Q79" s="21"/>
      <c r="R79" s="21"/>
      <c r="S79" s="21"/>
      <c r="T79" s="21"/>
      <c r="U79" s="21"/>
      <c r="V79" s="21"/>
    </row>
    <row r="80" spans="1:22" ht="30" customHeight="1" x14ac:dyDescent="0.25">
      <c r="A80" s="548"/>
      <c r="B80" s="232"/>
      <c r="C80" s="230" t="s">
        <v>468</v>
      </c>
      <c r="D80" s="434">
        <f>D79+1</f>
        <v>66</v>
      </c>
      <c r="E80" s="435" t="s">
        <v>171</v>
      </c>
      <c r="F80" s="706" t="s">
        <v>449</v>
      </c>
      <c r="G80" s="927"/>
      <c r="H80" s="928"/>
      <c r="I80" s="929"/>
      <c r="J80" s="198" t="str">
        <f>IF(F80="","Belum Terisi",IF(AND($F$77="Belum",F80="Diisi"),"CEK",IF(AND($F$77="Belum",COUNTIF($F$79:$F$82,"diisi")=4),"CEK",IF(AND($F$77="Sudah",COUNTIF($F$79:$F$82,"Tidak diisi")=4),"CEK",""))))</f>
        <v/>
      </c>
      <c r="K80" s="31" t="str">
        <f>IF(J80="CEK",$F$77&amp;" Administrasi Pembangunan Desa","")</f>
        <v/>
      </c>
      <c r="M80" s="21" t="s">
        <v>667</v>
      </c>
      <c r="N80" s="21"/>
      <c r="O80" s="21"/>
      <c r="P80" s="21"/>
      <c r="Q80" s="21"/>
      <c r="R80" s="21"/>
      <c r="S80" s="21"/>
      <c r="T80" s="21"/>
      <c r="U80" s="21"/>
      <c r="V80" s="21"/>
    </row>
    <row r="81" spans="1:22" ht="30" customHeight="1" x14ac:dyDescent="0.25">
      <c r="A81" s="548"/>
      <c r="B81" s="232"/>
      <c r="C81" s="230" t="s">
        <v>469</v>
      </c>
      <c r="D81" s="434">
        <f>D80+1</f>
        <v>67</v>
      </c>
      <c r="E81" s="435" t="s">
        <v>171</v>
      </c>
      <c r="F81" s="706" t="s">
        <v>449</v>
      </c>
      <c r="G81" s="927"/>
      <c r="H81" s="928"/>
      <c r="I81" s="929"/>
      <c r="J81" s="198" t="str">
        <f>IF(F81="","Belum Terisi",IF(AND($F$77="Belum",F81="Diisi"),"CEK",IF(AND($F$77="Belum",COUNTIF($F$79:$F$82,"diisi")=4),"CEK",IF(AND($F$77="Sudah",COUNTIF($F$79:$F$82,"Tidak diisi")=4),"CEK",""))))</f>
        <v/>
      </c>
      <c r="K81" s="31" t="str">
        <f>IF(J81="CEK",$F$77&amp;" Administrasi Pembangunan Desa","")</f>
        <v/>
      </c>
      <c r="M81" s="21" t="s">
        <v>667</v>
      </c>
      <c r="N81" s="21"/>
      <c r="O81" s="21"/>
      <c r="P81" s="21"/>
      <c r="Q81" s="21"/>
      <c r="R81" s="21"/>
      <c r="S81" s="21"/>
      <c r="T81" s="21"/>
      <c r="U81" s="21"/>
      <c r="V81" s="21"/>
    </row>
    <row r="82" spans="1:22" ht="30" customHeight="1" x14ac:dyDescent="0.25">
      <c r="A82" s="549"/>
      <c r="B82" s="233"/>
      <c r="C82" s="230" t="s">
        <v>470</v>
      </c>
      <c r="D82" s="434">
        <f>D81+1</f>
        <v>68</v>
      </c>
      <c r="E82" s="435" t="s">
        <v>171</v>
      </c>
      <c r="F82" s="707" t="s">
        <v>449</v>
      </c>
      <c r="G82" s="927"/>
      <c r="H82" s="928"/>
      <c r="I82" s="929"/>
      <c r="J82" s="198" t="str">
        <f>IF(F82="","Belum Terisi",IF(AND($F$77="Belum",F82="Diisi"),"CEK",IF(AND($F$77="Belum",COUNTIF($F$79:$F$82,"diisi")=4),"CEK",IF(AND($F$77="Sudah",COUNTIF($F$79:$F$82,"Tidak diisi")=4),"CEK",""))))</f>
        <v/>
      </c>
      <c r="K82" s="31" t="str">
        <f>IF(J82="CEK",$F$77&amp;" Administrasi Pembangunan Desa","")</f>
        <v/>
      </c>
      <c r="M82" s="21" t="s">
        <v>667</v>
      </c>
      <c r="N82" s="21"/>
      <c r="O82" s="21"/>
      <c r="P82" s="21"/>
      <c r="Q82" s="21"/>
      <c r="R82" s="21"/>
      <c r="S82" s="21"/>
      <c r="T82" s="21"/>
      <c r="U82" s="21"/>
      <c r="V82" s="21"/>
    </row>
    <row r="83" spans="1:22" ht="30" customHeight="1" x14ac:dyDescent="0.25">
      <c r="A83" s="547" t="str">
        <f>"A "&amp;(RIGHT(A77,3)+1)</f>
        <v>A 106</v>
      </c>
      <c r="B83" s="228" t="s">
        <v>41</v>
      </c>
      <c r="C83" s="229" t="s">
        <v>471</v>
      </c>
      <c r="D83" s="434">
        <f>D82+1</f>
        <v>69</v>
      </c>
      <c r="E83" s="435" t="s">
        <v>171</v>
      </c>
      <c r="F83" s="686" t="s">
        <v>846</v>
      </c>
      <c r="G83" s="927"/>
      <c r="H83" s="928"/>
      <c r="I83" s="929"/>
      <c r="J83" s="198" t="str">
        <f>IF(LEN(F83)&gt;0,"","Belum Terisi")</f>
        <v/>
      </c>
      <c r="M83" s="21" t="s">
        <v>667</v>
      </c>
      <c r="N83" s="21"/>
      <c r="O83" s="21"/>
      <c r="P83" s="21"/>
      <c r="Q83" s="21"/>
      <c r="R83" s="21"/>
      <c r="S83" s="21"/>
      <c r="T83" s="21"/>
      <c r="U83" s="21"/>
      <c r="V83" s="21"/>
    </row>
    <row r="84" spans="1:22" ht="30" customHeight="1" x14ac:dyDescent="0.25">
      <c r="A84" s="548"/>
      <c r="B84" s="228" t="s">
        <v>139</v>
      </c>
      <c r="C84" s="230" t="s">
        <v>472</v>
      </c>
      <c r="D84" s="430"/>
      <c r="E84" s="436"/>
      <c r="F84" s="709"/>
      <c r="G84" s="927"/>
      <c r="H84" s="928"/>
      <c r="I84" s="929"/>
      <c r="J84" s="199"/>
      <c r="L84" s="31"/>
      <c r="M84" s="21" t="s">
        <v>667</v>
      </c>
      <c r="N84" s="21"/>
      <c r="O84" s="21"/>
      <c r="P84" s="21"/>
      <c r="Q84" s="21"/>
      <c r="R84" s="21"/>
      <c r="S84" s="21"/>
      <c r="T84" s="21"/>
      <c r="U84" s="21"/>
      <c r="V84" s="21"/>
    </row>
    <row r="85" spans="1:22" ht="30" customHeight="1" x14ac:dyDescent="0.25">
      <c r="A85" s="548"/>
      <c r="B85" s="231"/>
      <c r="C85" s="230" t="s">
        <v>473</v>
      </c>
      <c r="D85" s="434">
        <f>D83+1</f>
        <v>70</v>
      </c>
      <c r="E85" s="435" t="s">
        <v>171</v>
      </c>
      <c r="F85" s="705" t="s">
        <v>449</v>
      </c>
      <c r="G85" s="927"/>
      <c r="H85" s="928"/>
      <c r="I85" s="929"/>
      <c r="J85" s="198" t="str">
        <f>IF(F85="","Belum Terisi",IF(AND($F$83="Belum",F85="Diisi"),"CEK",IF(AND($F$83="Belum",COUNTIF($F$85:$F$87,"diisi")=3),"CEK",IF(AND($F$83="Sudah",COUNTIF($F$85:$F$87,"Tidak diisi")=3),"CEK",""))))</f>
        <v/>
      </c>
      <c r="K85" s="31" t="str">
        <f>IF(J85="CEK",$F$69&amp;" Administrasi Lainnya","")</f>
        <v/>
      </c>
      <c r="M85" s="21" t="s">
        <v>667</v>
      </c>
      <c r="N85" s="21"/>
      <c r="O85" s="21"/>
      <c r="P85" s="21"/>
      <c r="Q85" s="21"/>
      <c r="R85" s="21"/>
      <c r="S85" s="21"/>
      <c r="T85" s="21"/>
      <c r="U85" s="21"/>
      <c r="V85" s="21"/>
    </row>
    <row r="86" spans="1:22" ht="30" customHeight="1" x14ac:dyDescent="0.25">
      <c r="A86" s="548"/>
      <c r="B86" s="232"/>
      <c r="C86" s="230" t="s">
        <v>474</v>
      </c>
      <c r="D86" s="434">
        <f>D85+1</f>
        <v>71</v>
      </c>
      <c r="E86" s="435" t="s">
        <v>171</v>
      </c>
      <c r="F86" s="706" t="s">
        <v>449</v>
      </c>
      <c r="G86" s="927"/>
      <c r="H86" s="928"/>
      <c r="I86" s="929"/>
      <c r="J86" s="198" t="str">
        <f>IF(F86="","Belum Terisi",IF(AND($F$83="Belum",F86="Diisi"),"CEK",IF(AND($F$83="Belum",COUNTIF($F$85:$F$87,"diisi")=3),"CEK",IF(AND($F$83="Sudah",COUNTIF($F$85:$F$87,"Tidak diisi")=3),"CEK",""))))</f>
        <v/>
      </c>
      <c r="K86" s="31" t="str">
        <f>IF(J86="CEK",$F$69&amp;" Administrasi Lainnya","")</f>
        <v/>
      </c>
      <c r="M86" s="21" t="s">
        <v>667</v>
      </c>
      <c r="N86" s="21"/>
      <c r="O86" s="21"/>
      <c r="P86" s="21"/>
      <c r="Q86" s="21"/>
      <c r="R86" s="21"/>
      <c r="S86" s="21"/>
      <c r="T86" s="21"/>
      <c r="U86" s="21"/>
      <c r="V86" s="21"/>
    </row>
    <row r="87" spans="1:22" ht="30" customHeight="1" x14ac:dyDescent="0.25">
      <c r="A87" s="548"/>
      <c r="B87" s="233"/>
      <c r="C87" s="230" t="s">
        <v>475</v>
      </c>
      <c r="D87" s="434">
        <f>D86+1</f>
        <v>72</v>
      </c>
      <c r="E87" s="435" t="s">
        <v>171</v>
      </c>
      <c r="F87" s="707" t="s">
        <v>449</v>
      </c>
      <c r="G87" s="927"/>
      <c r="H87" s="928"/>
      <c r="I87" s="929"/>
      <c r="J87" s="198" t="str">
        <f>IF(F87="","Belum Terisi",IF(AND($F$83="Belum",F87="Diisi"),"CEK",IF(AND($F$83="Belum",COUNTIF($F$85:$F$87,"diisi")=3),"CEK",IF(AND($F$83="Sudah",COUNTIF($F$85:$F$87,"Tidak diisi")=3),"CEK",""))))</f>
        <v/>
      </c>
      <c r="K87" s="31" t="str">
        <f>IF(J87="CEK",$F$69&amp;" Administrasi Lainnya","")</f>
        <v/>
      </c>
      <c r="M87" s="21" t="s">
        <v>667</v>
      </c>
      <c r="N87" s="21"/>
      <c r="O87" s="21"/>
      <c r="P87" s="21"/>
      <c r="Q87" s="21"/>
      <c r="R87" s="21"/>
      <c r="S87" s="21"/>
      <c r="T87" s="21"/>
      <c r="U87" s="21"/>
      <c r="V87" s="21"/>
    </row>
    <row r="88" spans="1:22" ht="30" customHeight="1" x14ac:dyDescent="0.25">
      <c r="A88" s="546" t="s">
        <v>476</v>
      </c>
      <c r="B88" s="235"/>
      <c r="C88" s="222"/>
      <c r="D88" s="430"/>
      <c r="E88" s="436"/>
      <c r="F88" s="709"/>
      <c r="G88" s="927"/>
      <c r="H88" s="928"/>
      <c r="I88" s="929"/>
      <c r="J88" s="199"/>
      <c r="L88" s="31"/>
      <c r="M88" s="21" t="s">
        <v>667</v>
      </c>
      <c r="N88" s="21"/>
      <c r="O88" s="21"/>
      <c r="P88" s="21"/>
      <c r="Q88" s="21"/>
      <c r="R88" s="21"/>
      <c r="S88" s="21"/>
      <c r="T88" s="21"/>
      <c r="U88" s="21"/>
      <c r="V88" s="21"/>
    </row>
    <row r="89" spans="1:22" ht="30" customHeight="1" x14ac:dyDescent="0.25">
      <c r="A89" s="547" t="str">
        <f>"A "&amp;(RIGHT(A83,3)+1)</f>
        <v>A 107</v>
      </c>
      <c r="B89" s="226" t="s">
        <v>41</v>
      </c>
      <c r="C89" s="236" t="s">
        <v>477</v>
      </c>
      <c r="D89" s="434">
        <f>D87+1</f>
        <v>73</v>
      </c>
      <c r="E89" s="435" t="s">
        <v>171</v>
      </c>
      <c r="F89" s="705" t="s">
        <v>846</v>
      </c>
      <c r="G89" s="927"/>
      <c r="H89" s="928"/>
      <c r="I89" s="929"/>
      <c r="J89" s="198" t="str">
        <f>IF(LEN(F89)&gt;0,"","Belum Terisi")</f>
        <v/>
      </c>
      <c r="M89" s="21" t="s">
        <v>667</v>
      </c>
      <c r="N89" s="21"/>
      <c r="O89" s="21"/>
      <c r="P89" s="21"/>
      <c r="Q89" s="21"/>
      <c r="R89" s="21"/>
      <c r="S89" s="21"/>
      <c r="T89" s="21"/>
      <c r="U89" s="21"/>
      <c r="V89" s="21"/>
    </row>
    <row r="90" spans="1:22" ht="30" customHeight="1" x14ac:dyDescent="0.25">
      <c r="A90" s="550"/>
      <c r="B90" s="226" t="s">
        <v>139</v>
      </c>
      <c r="C90" s="236" t="s">
        <v>478</v>
      </c>
      <c r="D90" s="434">
        <f>D89+1</f>
        <v>74</v>
      </c>
      <c r="E90" s="435" t="s">
        <v>171</v>
      </c>
      <c r="F90" s="707" t="s">
        <v>846</v>
      </c>
      <c r="G90" s="927"/>
      <c r="H90" s="928"/>
      <c r="I90" s="929"/>
      <c r="J90" s="198" t="str">
        <f>IF(LEN(F90)&gt;0,"","Belum Terisi")</f>
        <v/>
      </c>
      <c r="M90" s="21" t="s">
        <v>667</v>
      </c>
      <c r="N90" s="21"/>
      <c r="O90" s="21"/>
      <c r="P90" s="21"/>
      <c r="Q90" s="21"/>
      <c r="R90" s="21"/>
      <c r="S90" s="21"/>
      <c r="T90" s="21"/>
      <c r="U90" s="21"/>
      <c r="V90" s="21"/>
    </row>
    <row r="91" spans="1:22" ht="30" customHeight="1" x14ac:dyDescent="0.25">
      <c r="A91" s="546" t="s">
        <v>479</v>
      </c>
      <c r="B91" s="237"/>
      <c r="C91" s="222"/>
      <c r="D91" s="430"/>
      <c r="E91" s="436"/>
      <c r="F91" s="709"/>
      <c r="H91" s="928"/>
      <c r="I91" s="929"/>
      <c r="J91" s="199"/>
      <c r="M91" s="21" t="s">
        <v>667</v>
      </c>
      <c r="N91" s="21"/>
      <c r="O91" s="21"/>
      <c r="P91" s="21"/>
      <c r="Q91" s="21"/>
      <c r="R91" s="21"/>
      <c r="S91" s="21"/>
      <c r="T91" s="21"/>
      <c r="U91" s="21"/>
      <c r="V91" s="21"/>
    </row>
    <row r="92" spans="1:22" ht="30" customHeight="1" x14ac:dyDescent="0.25">
      <c r="A92" s="551" t="str">
        <f>"A "&amp;(RIGHT(A89,3)+1)</f>
        <v>A 108</v>
      </c>
      <c r="B92" s="226"/>
      <c r="C92" s="236" t="s">
        <v>480</v>
      </c>
      <c r="D92" s="434">
        <f>D90+1</f>
        <v>75</v>
      </c>
      <c r="E92" s="435" t="s">
        <v>171</v>
      </c>
      <c r="F92" s="686" t="s">
        <v>847</v>
      </c>
      <c r="G92" s="927"/>
      <c r="H92" s="928"/>
      <c r="I92" s="929"/>
      <c r="J92" s="198" t="str">
        <f>IF(LEN(F92)&gt;0,"","Belum Terisi")</f>
        <v/>
      </c>
      <c r="M92" s="21" t="s">
        <v>667</v>
      </c>
      <c r="N92" s="21"/>
      <c r="O92" s="21"/>
      <c r="P92" s="21"/>
      <c r="Q92" s="21"/>
      <c r="R92" s="21"/>
      <c r="S92" s="21"/>
      <c r="T92" s="21"/>
      <c r="U92" s="21"/>
      <c r="V92" s="21"/>
    </row>
    <row r="93" spans="1:22" ht="30" customHeight="1" x14ac:dyDescent="0.25">
      <c r="A93" s="546" t="s">
        <v>481</v>
      </c>
      <c r="B93" s="237"/>
      <c r="C93" s="222"/>
      <c r="D93" s="430"/>
      <c r="E93" s="436"/>
      <c r="F93" s="709"/>
      <c r="G93" s="927"/>
      <c r="H93" s="928"/>
      <c r="I93" s="929"/>
      <c r="J93" s="199"/>
      <c r="L93" s="31"/>
      <c r="M93" s="21" t="s">
        <v>667</v>
      </c>
      <c r="N93" s="21"/>
      <c r="O93" s="21"/>
      <c r="P93" s="21"/>
      <c r="Q93" s="21"/>
      <c r="R93" s="21"/>
      <c r="S93" s="21"/>
      <c r="T93" s="21"/>
      <c r="U93" s="21"/>
      <c r="V93" s="21"/>
    </row>
    <row r="94" spans="1:22" ht="30" customHeight="1" x14ac:dyDescent="0.25">
      <c r="A94" s="551" t="str">
        <f>"A "&amp;(RIGHT(A92,3)+1)</f>
        <v>A 109</v>
      </c>
      <c r="B94" s="226"/>
      <c r="C94" s="236" t="s">
        <v>482</v>
      </c>
      <c r="D94" s="434">
        <f>D92+1</f>
        <v>76</v>
      </c>
      <c r="E94" s="435" t="s">
        <v>483</v>
      </c>
      <c r="F94" s="686">
        <v>2</v>
      </c>
      <c r="H94" s="928" t="s">
        <v>515</v>
      </c>
      <c r="I94" s="929"/>
      <c r="J94" s="198" t="str">
        <f>IF(LEN(F94)&gt;0,"","Belum Terisi")</f>
        <v/>
      </c>
      <c r="K94" s="31" t="str">
        <f>IF(J94="cek","Diisi Dengan Angka yang benar","")</f>
        <v/>
      </c>
      <c r="M94" s="21" t="s">
        <v>667</v>
      </c>
      <c r="N94" s="21"/>
      <c r="O94" s="21"/>
      <c r="P94" s="21"/>
      <c r="Q94" s="21"/>
      <c r="R94" s="21"/>
      <c r="S94" s="21"/>
      <c r="T94" s="21"/>
      <c r="U94" s="21"/>
      <c r="V94" s="21"/>
    </row>
    <row r="95" spans="1:22" ht="30" customHeight="1" x14ac:dyDescent="0.25">
      <c r="A95" s="546" t="s">
        <v>484</v>
      </c>
      <c r="B95" s="237"/>
      <c r="C95" s="222"/>
      <c r="D95" s="430"/>
      <c r="E95" s="438"/>
      <c r="F95" s="710"/>
      <c r="H95" s="928"/>
      <c r="I95" s="929"/>
      <c r="J95" s="199"/>
      <c r="M95" s="21" t="s">
        <v>667</v>
      </c>
      <c r="N95" s="21"/>
      <c r="O95" s="21"/>
      <c r="P95" s="21"/>
      <c r="Q95" s="21"/>
      <c r="R95" s="21"/>
      <c r="S95" s="21"/>
      <c r="T95" s="21"/>
      <c r="U95" s="21"/>
      <c r="V95" s="21"/>
    </row>
    <row r="96" spans="1:22" ht="30" customHeight="1" x14ac:dyDescent="0.25">
      <c r="A96" s="547" t="str">
        <f>"A "&amp;(RIGHT(A94,3)+1)</f>
        <v>A 110</v>
      </c>
      <c r="B96" s="228" t="s">
        <v>41</v>
      </c>
      <c r="C96" s="236" t="s">
        <v>485</v>
      </c>
      <c r="D96" s="100">
        <f>D94+1</f>
        <v>77</v>
      </c>
      <c r="E96" s="435" t="s">
        <v>171</v>
      </c>
      <c r="F96" s="711" t="s">
        <v>263</v>
      </c>
      <c r="G96" s="927"/>
      <c r="H96" s="928"/>
      <c r="I96" s="929"/>
      <c r="J96" s="198" t="str">
        <f>IF(LEN(F96)&gt;0,"","Belum Terisi")</f>
        <v/>
      </c>
      <c r="M96" s="21" t="s">
        <v>667</v>
      </c>
      <c r="N96" s="21"/>
      <c r="O96" s="21"/>
      <c r="P96" s="21"/>
      <c r="Q96" s="21"/>
      <c r="R96" s="21"/>
      <c r="S96" s="21"/>
      <c r="T96" s="21"/>
      <c r="U96" s="21"/>
      <c r="V96" s="21"/>
    </row>
    <row r="97" spans="1:22" ht="30" customHeight="1" x14ac:dyDescent="0.25">
      <c r="A97" s="550"/>
      <c r="B97" s="228" t="s">
        <v>139</v>
      </c>
      <c r="C97" s="236" t="s">
        <v>1014</v>
      </c>
      <c r="D97" s="100">
        <f>D96+1</f>
        <v>78</v>
      </c>
      <c r="E97" s="427" t="s">
        <v>70</v>
      </c>
      <c r="F97" s="712">
        <v>0</v>
      </c>
      <c r="H97" s="928" t="s">
        <v>515</v>
      </c>
      <c r="I97" s="929"/>
      <c r="J97" s="198" t="str">
        <f>IF(F97="","Belum Terisi",IF(AND(F96="Tidak Ada",F97&lt;&gt;0),"CEK",""))</f>
        <v/>
      </c>
      <c r="K97" s="31" t="str">
        <f>IF(J97="CEK","Tidak Ada Kelompok/Lembaga/Organisasi Lembaga Adat Desa","")</f>
        <v/>
      </c>
      <c r="M97" s="21" t="s">
        <v>667</v>
      </c>
      <c r="N97" s="21"/>
      <c r="O97" s="21"/>
      <c r="P97" s="21"/>
      <c r="Q97" s="21"/>
      <c r="R97" s="21"/>
      <c r="S97" s="21"/>
      <c r="T97" s="21"/>
      <c r="U97" s="21"/>
      <c r="V97" s="21"/>
    </row>
    <row r="98" spans="1:22" ht="30" customHeight="1" x14ac:dyDescent="0.25">
      <c r="A98" s="546" t="s">
        <v>486</v>
      </c>
      <c r="B98" s="226"/>
      <c r="C98" s="222"/>
      <c r="D98" s="430"/>
      <c r="E98" s="438"/>
      <c r="F98" s="713"/>
      <c r="H98" s="928"/>
      <c r="I98" s="929"/>
      <c r="J98" s="199"/>
      <c r="M98" s="21" t="s">
        <v>667</v>
      </c>
      <c r="N98" s="21"/>
      <c r="O98" s="21"/>
      <c r="P98" s="21"/>
      <c r="Q98" s="21"/>
      <c r="R98" s="21"/>
      <c r="S98" s="21"/>
      <c r="T98" s="21"/>
      <c r="U98" s="21"/>
      <c r="V98" s="21"/>
    </row>
    <row r="99" spans="1:22" ht="30" customHeight="1" x14ac:dyDescent="0.25">
      <c r="A99" s="547" t="str">
        <f>"A "&amp;(RIGHT(A96,3)+1)</f>
        <v>A 111</v>
      </c>
      <c r="B99" s="228" t="s">
        <v>41</v>
      </c>
      <c r="C99" s="230" t="s">
        <v>487</v>
      </c>
      <c r="D99" s="434">
        <f>D97+1</f>
        <v>79</v>
      </c>
      <c r="E99" s="435" t="s">
        <v>171</v>
      </c>
      <c r="F99" s="705">
        <v>1</v>
      </c>
      <c r="G99" s="927" t="s">
        <v>630</v>
      </c>
      <c r="H99" s="928"/>
      <c r="I99" s="929"/>
      <c r="J99" s="198" t="str">
        <f>IF(F99="","Belum Terisi",IF(OR(F99=1,F99=5),"","CEK"))</f>
        <v/>
      </c>
      <c r="K99" s="31" t="str">
        <f>IF(J99="CEK","Inputan Tidak Sesuai","")</f>
        <v/>
      </c>
      <c r="L99" s="31"/>
      <c r="M99" s="21" t="s">
        <v>667</v>
      </c>
      <c r="N99" s="847" t="s">
        <v>668</v>
      </c>
      <c r="O99" s="21"/>
      <c r="P99" s="21"/>
      <c r="Q99" s="21"/>
      <c r="R99" s="21"/>
      <c r="S99" s="21"/>
      <c r="T99" s="21"/>
      <c r="U99" s="21"/>
      <c r="V99" s="21"/>
    </row>
    <row r="100" spans="1:22" ht="30" customHeight="1" x14ac:dyDescent="0.25">
      <c r="A100" s="548"/>
      <c r="B100" s="228" t="s">
        <v>139</v>
      </c>
      <c r="C100" s="230" t="s">
        <v>488</v>
      </c>
      <c r="D100" s="434">
        <f>D99+1</f>
        <v>80</v>
      </c>
      <c r="E100" s="435" t="s">
        <v>171</v>
      </c>
      <c r="F100" s="706">
        <v>1</v>
      </c>
      <c r="G100" s="927" t="s">
        <v>630</v>
      </c>
      <c r="I100" s="929"/>
      <c r="J100" s="198" t="str">
        <f t="shared" ref="J100:J102" si="8">IF(F100="","Belum Terisi",IF(OR(F100=1,F100=5),"","CEK"))</f>
        <v/>
      </c>
      <c r="K100" s="31" t="str">
        <f t="shared" ref="K100:K102" si="9">IF(J100="CEK","Inputan Tidak Sesuai","")</f>
        <v/>
      </c>
      <c r="M100" s="21" t="s">
        <v>667</v>
      </c>
      <c r="N100" s="847" t="s">
        <v>668</v>
      </c>
      <c r="O100" s="21"/>
      <c r="P100" s="21"/>
      <c r="Q100" s="21"/>
      <c r="R100" s="21"/>
      <c r="S100" s="21"/>
      <c r="T100" s="21"/>
      <c r="U100" s="21"/>
      <c r="V100" s="21"/>
    </row>
    <row r="101" spans="1:22" ht="30" customHeight="1" x14ac:dyDescent="0.25">
      <c r="A101" s="548"/>
      <c r="B101" s="228" t="s">
        <v>251</v>
      </c>
      <c r="C101" s="230" t="s">
        <v>489</v>
      </c>
      <c r="D101" s="434">
        <f>D100+1</f>
        <v>81</v>
      </c>
      <c r="E101" s="435" t="s">
        <v>171</v>
      </c>
      <c r="F101" s="706">
        <v>1</v>
      </c>
      <c r="G101" s="927" t="s">
        <v>630</v>
      </c>
      <c r="I101" s="929"/>
      <c r="J101" s="198" t="str">
        <f t="shared" si="8"/>
        <v/>
      </c>
      <c r="K101" s="31" t="str">
        <f t="shared" si="9"/>
        <v/>
      </c>
      <c r="M101" s="21" t="s">
        <v>667</v>
      </c>
      <c r="N101" s="21"/>
      <c r="O101" s="21"/>
      <c r="P101" s="21"/>
      <c r="Q101" s="21"/>
      <c r="R101" s="21"/>
      <c r="S101" s="21"/>
      <c r="T101" s="21"/>
      <c r="U101" s="21"/>
      <c r="V101" s="21"/>
    </row>
    <row r="102" spans="1:22" ht="30" customHeight="1" x14ac:dyDescent="0.25">
      <c r="A102" s="548"/>
      <c r="B102" s="228" t="s">
        <v>255</v>
      </c>
      <c r="C102" s="230" t="s">
        <v>490</v>
      </c>
      <c r="D102" s="434">
        <f>D101+1</f>
        <v>82</v>
      </c>
      <c r="E102" s="435" t="s">
        <v>171</v>
      </c>
      <c r="F102" s="706">
        <v>1</v>
      </c>
      <c r="G102" s="927" t="s">
        <v>630</v>
      </c>
      <c r="I102" s="929"/>
      <c r="J102" s="198" t="str">
        <f t="shared" si="8"/>
        <v/>
      </c>
      <c r="K102" s="31" t="str">
        <f t="shared" si="9"/>
        <v/>
      </c>
      <c r="M102" s="21" t="s">
        <v>667</v>
      </c>
      <c r="N102" s="21"/>
      <c r="O102" s="21"/>
      <c r="P102" s="21"/>
      <c r="Q102" s="21"/>
      <c r="R102" s="21"/>
      <c r="S102" s="21"/>
      <c r="T102" s="21"/>
      <c r="U102" s="21"/>
      <c r="V102" s="21"/>
    </row>
    <row r="103" spans="1:22" ht="40.15" customHeight="1" x14ac:dyDescent="0.25">
      <c r="A103" s="549"/>
      <c r="B103" s="228" t="s">
        <v>252</v>
      </c>
      <c r="C103" s="230" t="s">
        <v>491</v>
      </c>
      <c r="D103" s="434">
        <f>D102+1</f>
        <v>83</v>
      </c>
      <c r="E103" s="435" t="s">
        <v>171</v>
      </c>
      <c r="F103" s="707" t="s">
        <v>2806</v>
      </c>
      <c r="G103" s="927"/>
      <c r="I103" s="929"/>
      <c r="J103" s="198" t="str">
        <f>IF(LEN(F103)&gt;0,"","Belum Terisi")</f>
        <v/>
      </c>
      <c r="L103" s="31"/>
      <c r="M103" s="21" t="s">
        <v>667</v>
      </c>
      <c r="N103" s="21"/>
      <c r="O103" s="21"/>
      <c r="P103" s="21"/>
      <c r="Q103" s="21"/>
      <c r="R103" s="21"/>
      <c r="S103" s="21"/>
      <c r="T103" s="21"/>
      <c r="U103" s="21"/>
      <c r="V103" s="21"/>
    </row>
    <row r="104" spans="1:22" ht="30" customHeight="1" x14ac:dyDescent="0.25">
      <c r="A104" s="546" t="s">
        <v>492</v>
      </c>
      <c r="B104" s="226"/>
      <c r="C104" s="222"/>
      <c r="D104" s="430"/>
      <c r="E104" s="438"/>
      <c r="F104" s="713"/>
      <c r="I104" s="929"/>
      <c r="J104" s="198"/>
      <c r="M104" s="21" t="s">
        <v>667</v>
      </c>
      <c r="N104" s="21"/>
      <c r="O104" s="21"/>
      <c r="P104" s="21"/>
      <c r="Q104" s="21"/>
      <c r="R104" s="21"/>
      <c r="S104" s="21"/>
      <c r="T104" s="21"/>
      <c r="U104" s="21"/>
      <c r="V104" s="21"/>
    </row>
    <row r="105" spans="1:22" ht="30" customHeight="1" x14ac:dyDescent="0.25">
      <c r="A105" s="547" t="str">
        <f>"A "&amp;(RIGHT(A99,3)+1)</f>
        <v>A 112</v>
      </c>
      <c r="B105" s="228" t="s">
        <v>41</v>
      </c>
      <c r="C105" s="230" t="s">
        <v>493</v>
      </c>
      <c r="D105" s="100">
        <f>D103+1</f>
        <v>84</v>
      </c>
      <c r="E105" s="439" t="s">
        <v>171</v>
      </c>
      <c r="F105" s="705">
        <v>1</v>
      </c>
      <c r="G105" s="927" t="s">
        <v>631</v>
      </c>
      <c r="H105" s="928"/>
      <c r="I105" s="929"/>
      <c r="J105" s="198" t="str">
        <f>IF(F105="","Belum Terisi",IF(AND(F105&gt;=1,F105&lt;=5),"","CEK"))</f>
        <v/>
      </c>
      <c r="K105" s="31" t="str">
        <f>IF(J105="CEK","Inputan Tidak Sesuai","")</f>
        <v/>
      </c>
      <c r="M105" s="21" t="s">
        <v>667</v>
      </c>
      <c r="N105" s="21"/>
      <c r="O105" s="21"/>
      <c r="P105" s="21"/>
      <c r="Q105" s="21"/>
      <c r="R105" s="21"/>
      <c r="S105" s="21"/>
      <c r="T105" s="21"/>
      <c r="U105" s="21"/>
      <c r="V105" s="21"/>
    </row>
    <row r="106" spans="1:22" ht="30" customHeight="1" x14ac:dyDescent="0.25">
      <c r="A106" s="552"/>
      <c r="B106" s="228" t="s">
        <v>139</v>
      </c>
      <c r="C106" s="230" t="s">
        <v>494</v>
      </c>
      <c r="D106" s="100">
        <f>D105+1</f>
        <v>85</v>
      </c>
      <c r="E106" s="435" t="s">
        <v>70</v>
      </c>
      <c r="F106" s="706">
        <v>1</v>
      </c>
      <c r="G106" s="927"/>
      <c r="H106" s="928"/>
      <c r="I106" s="929"/>
      <c r="J106" s="198" t="str">
        <f>IF(F106="","Belum Terisi",IF(F106&lt;0,"CEK",IF(AND($F$105=1,SUM($F$106:$F$107)&lt;=2),"",IF(AND($F$105=2,SUM($F$106:$F$107)&gt;=3,SUM($F$106:$F$107&lt;4)),"",IF(AND($F$105=3,SUM($F$106:$F$107)&gt;=5,SUM($F$106:$F$107)&lt;=6),"",IF(AND($F$105=4,SUM($F$106:$F$107)&gt;=7,SUM($F$106:$F$107)&lt;=9),"",IF(AND($F$105=5,SUM($F$106:$F$107)&gt;=10,SUM($F$106:$F$107)&lt;=12),"","CEK")))))))</f>
        <v/>
      </c>
      <c r="K106" s="31" t="str">
        <f>IF(J106="Cek","Jlh Musdes Terancana dan Insidental harus sesuai Range Jumlah MusDes di Desa","")</f>
        <v/>
      </c>
      <c r="M106" s="21" t="s">
        <v>667</v>
      </c>
      <c r="N106" s="21"/>
      <c r="O106" s="21"/>
      <c r="P106" s="21"/>
      <c r="Q106" s="21"/>
      <c r="R106" s="21"/>
      <c r="S106" s="21"/>
      <c r="T106" s="21"/>
      <c r="U106" s="21"/>
      <c r="V106" s="21"/>
    </row>
    <row r="107" spans="1:22" ht="30" customHeight="1" x14ac:dyDescent="0.25">
      <c r="A107" s="553"/>
      <c r="B107" s="228" t="s">
        <v>251</v>
      </c>
      <c r="C107" s="230" t="s">
        <v>495</v>
      </c>
      <c r="D107" s="100">
        <f>D106+1</f>
        <v>86</v>
      </c>
      <c r="E107" s="435" t="s">
        <v>70</v>
      </c>
      <c r="F107" s="707">
        <v>1</v>
      </c>
      <c r="G107" s="927"/>
      <c r="H107" s="928"/>
      <c r="I107" s="929"/>
      <c r="J107" s="198" t="str">
        <f>IF(F107="","Belum Terisi",IF(F107&lt;0,"CEK",IF(AND($F$105=1,SUM($F$106:$F$107)&lt;=2),"",IF(AND($F$105=2,SUM($F$106:$F$107)&gt;=3,SUM($F$106:$F$107&lt;4)),"",IF(AND($F$105=3,SUM($F$106:$F$107)&gt;=5,SUM($F$106:$F$107)&lt;=6),"",IF(AND($F$105=4,SUM($F$106:$F$107)&gt;=7,SUM($F$106:$F$107)&lt;=9),"",IF(AND($F$105=5,SUM($F$106:$F$107)&gt;=10,SUM($F$106:$F$107)&lt;=12),"","CEK")))))))</f>
        <v/>
      </c>
      <c r="K107" s="31" t="str">
        <f>IF(J107="Cek","Jlh Musdes Terancana dan Insidental harus sesuai Range Jumlah MusDes di Desa","")</f>
        <v/>
      </c>
      <c r="L107" s="31"/>
      <c r="M107" s="21" t="s">
        <v>667</v>
      </c>
      <c r="N107" s="21"/>
      <c r="O107" s="21"/>
      <c r="P107" s="21"/>
      <c r="Q107" s="21"/>
      <c r="R107" s="21"/>
      <c r="S107" s="21"/>
      <c r="T107" s="21"/>
      <c r="U107" s="21"/>
      <c r="V107" s="21"/>
    </row>
    <row r="108" spans="1:22" ht="30" customHeight="1" x14ac:dyDescent="0.25">
      <c r="A108" s="546" t="s">
        <v>496</v>
      </c>
      <c r="B108" s="226"/>
      <c r="C108" s="222"/>
      <c r="D108" s="430"/>
      <c r="E108" s="438"/>
      <c r="F108" s="713"/>
      <c r="H108" s="928"/>
      <c r="I108" s="929"/>
      <c r="J108" s="199"/>
      <c r="M108" s="21" t="s">
        <v>667</v>
      </c>
      <c r="N108" s="21"/>
      <c r="O108" s="21"/>
      <c r="P108" s="21"/>
      <c r="Q108" s="21"/>
      <c r="R108" s="21"/>
      <c r="S108" s="21"/>
      <c r="T108" s="21"/>
      <c r="U108" s="21"/>
      <c r="V108" s="21"/>
    </row>
    <row r="109" spans="1:22" ht="70.150000000000006" customHeight="1" x14ac:dyDescent="0.25">
      <c r="A109" s="551" t="str">
        <f>"A "&amp;(RIGHT(A105,3)+1)</f>
        <v>A 113</v>
      </c>
      <c r="B109" s="238"/>
      <c r="C109" s="864" t="s">
        <v>2450</v>
      </c>
      <c r="D109" s="434">
        <f>D107+1</f>
        <v>87</v>
      </c>
      <c r="E109" s="435" t="s">
        <v>171</v>
      </c>
      <c r="F109" s="686">
        <v>5</v>
      </c>
      <c r="G109" s="927" t="s">
        <v>631</v>
      </c>
      <c r="H109" s="928"/>
      <c r="I109" s="929"/>
      <c r="J109" s="198" t="str">
        <f>IF(F109="","Belum Terisi",IF(OR(F109=1,F109=5),"","CEK"))</f>
        <v/>
      </c>
      <c r="K109" s="31" t="str">
        <f>IF(J109="CEK","Inputan Tidak Sesuai","")</f>
        <v/>
      </c>
      <c r="M109" s="21" t="s">
        <v>667</v>
      </c>
      <c r="N109" s="847" t="s">
        <v>668</v>
      </c>
      <c r="O109" s="21"/>
      <c r="P109" s="21"/>
      <c r="Q109" s="21"/>
      <c r="R109" s="21"/>
      <c r="S109" s="21"/>
      <c r="T109" s="21"/>
      <c r="U109" s="21"/>
      <c r="V109" s="21"/>
    </row>
    <row r="110" spans="1:22" ht="30" customHeight="1" x14ac:dyDescent="0.25">
      <c r="A110" s="546" t="s">
        <v>497</v>
      </c>
      <c r="B110" s="226"/>
      <c r="C110" s="222"/>
      <c r="D110" s="430"/>
      <c r="E110" s="438"/>
      <c r="F110" s="713"/>
      <c r="H110" s="928"/>
      <c r="I110" s="929"/>
      <c r="J110" s="199"/>
      <c r="L110" s="31"/>
      <c r="M110" s="21" t="s">
        <v>667</v>
      </c>
      <c r="N110" s="21"/>
      <c r="O110" s="21"/>
      <c r="P110" s="21"/>
      <c r="Q110" s="21"/>
      <c r="R110" s="21"/>
      <c r="S110" s="21"/>
      <c r="T110" s="21"/>
      <c r="U110" s="21"/>
      <c r="V110" s="21"/>
    </row>
    <row r="111" spans="1:22" ht="30" customHeight="1" x14ac:dyDescent="0.25">
      <c r="A111" s="551" t="str">
        <f>"A "&amp;(RIGHT(A109,3)+1)</f>
        <v>A 114</v>
      </c>
      <c r="B111" s="228" t="s">
        <v>41</v>
      </c>
      <c r="C111" s="230" t="s">
        <v>498</v>
      </c>
      <c r="D111" s="434">
        <f>D109+1</f>
        <v>88</v>
      </c>
      <c r="E111" s="435" t="s">
        <v>171</v>
      </c>
      <c r="F111" s="705">
        <v>1</v>
      </c>
      <c r="G111" s="927"/>
      <c r="H111" s="928"/>
      <c r="I111" s="929"/>
      <c r="J111" s="198" t="str">
        <f>IF(LEN(F111)&gt;0,"","Belum Terisi")</f>
        <v/>
      </c>
      <c r="M111" s="21" t="s">
        <v>667</v>
      </c>
      <c r="N111" s="21"/>
      <c r="O111" s="21"/>
      <c r="P111" s="21"/>
      <c r="Q111" s="21"/>
      <c r="R111" s="21"/>
      <c r="S111" s="21"/>
      <c r="T111" s="21"/>
      <c r="U111" s="21"/>
      <c r="V111" s="21"/>
    </row>
    <row r="112" spans="1:22" ht="30" customHeight="1" x14ac:dyDescent="0.25">
      <c r="A112" s="552"/>
      <c r="B112" s="228" t="s">
        <v>139</v>
      </c>
      <c r="C112" s="230" t="s">
        <v>582</v>
      </c>
      <c r="D112" s="434">
        <f>D111+1</f>
        <v>89</v>
      </c>
      <c r="E112" s="435" t="s">
        <v>171</v>
      </c>
      <c r="F112" s="706" t="s">
        <v>285</v>
      </c>
      <c r="G112" s="927"/>
      <c r="H112" s="928" t="s">
        <v>285</v>
      </c>
      <c r="I112" s="929"/>
      <c r="J112" s="198" t="str">
        <f>IF(LEN(F112)&gt;0,"","Belum Terisi")</f>
        <v/>
      </c>
      <c r="M112" s="21" t="s">
        <v>667</v>
      </c>
      <c r="N112" s="21"/>
      <c r="O112" s="21"/>
      <c r="P112" s="21"/>
      <c r="Q112" s="21"/>
      <c r="R112" s="21"/>
      <c r="S112" s="21"/>
      <c r="T112" s="21"/>
      <c r="U112" s="21"/>
      <c r="V112" s="21"/>
    </row>
    <row r="113" spans="1:22" ht="40.15" customHeight="1" x14ac:dyDescent="0.25">
      <c r="A113" s="553"/>
      <c r="B113" s="228" t="s">
        <v>251</v>
      </c>
      <c r="C113" s="230" t="s">
        <v>499</v>
      </c>
      <c r="D113" s="434">
        <f>D112+1</f>
        <v>90</v>
      </c>
      <c r="E113" s="435" t="s">
        <v>171</v>
      </c>
      <c r="F113" s="707" t="s">
        <v>285</v>
      </c>
      <c r="G113" s="927"/>
      <c r="H113" s="928" t="s">
        <v>263</v>
      </c>
      <c r="I113" s="929"/>
      <c r="J113" s="198" t="str">
        <f>IF(LEN(F113)&gt;0,"","Belum Terisi")</f>
        <v/>
      </c>
      <c r="M113" s="21" t="s">
        <v>667</v>
      </c>
      <c r="N113" s="847" t="s">
        <v>668</v>
      </c>
      <c r="O113" s="21"/>
      <c r="P113" s="21"/>
      <c r="Q113" s="21"/>
      <c r="R113" s="21"/>
      <c r="S113" s="21"/>
      <c r="T113" s="21"/>
      <c r="U113" s="21"/>
      <c r="V113" s="21"/>
    </row>
    <row r="114" spans="1:22" s="2" customFormat="1" ht="30" customHeight="1" x14ac:dyDescent="0.25">
      <c r="A114" s="554" t="s">
        <v>37</v>
      </c>
      <c r="B114" s="239"/>
      <c r="C114" s="240"/>
      <c r="D114" s="428"/>
      <c r="E114" s="440"/>
      <c r="F114" s="714"/>
      <c r="G114" s="924"/>
      <c r="H114" s="923" t="s">
        <v>263</v>
      </c>
      <c r="I114" s="925"/>
      <c r="J114" s="98"/>
      <c r="K114" s="31"/>
      <c r="L114" s="43"/>
      <c r="M114" s="21" t="s">
        <v>667</v>
      </c>
      <c r="N114" s="21"/>
      <c r="O114" s="21"/>
      <c r="P114" s="21"/>
      <c r="Q114" s="21"/>
      <c r="R114" s="21"/>
      <c r="S114" s="21"/>
      <c r="T114" s="21"/>
      <c r="U114" s="21"/>
      <c r="V114" s="21"/>
    </row>
    <row r="115" spans="1:22" s="2" customFormat="1" ht="30" customHeight="1" x14ac:dyDescent="0.25">
      <c r="A115" s="551" t="str">
        <f>"A "&amp;(RIGHT(A111,3)+1)</f>
        <v>A 115</v>
      </c>
      <c r="B115" s="241" t="s">
        <v>41</v>
      </c>
      <c r="C115" s="217" t="s">
        <v>2472</v>
      </c>
      <c r="D115" s="100">
        <f>D113+1</f>
        <v>91</v>
      </c>
      <c r="E115" s="427" t="s">
        <v>171</v>
      </c>
      <c r="F115" s="693" t="s">
        <v>2807</v>
      </c>
      <c r="G115" s="924"/>
      <c r="H115" s="923"/>
      <c r="I115" s="923"/>
      <c r="J115" s="198" t="str">
        <f>IF(LEN(F115)&gt;0,"","Belum Terisi")</f>
        <v/>
      </c>
      <c r="K115" s="31"/>
      <c r="L115" s="43"/>
      <c r="M115" s="21" t="s">
        <v>667</v>
      </c>
      <c r="N115" s="21"/>
      <c r="O115" s="21"/>
      <c r="P115" s="21"/>
      <c r="Q115" s="21"/>
      <c r="R115" s="21"/>
      <c r="S115" s="21"/>
      <c r="T115" s="21"/>
      <c r="U115" s="21"/>
      <c r="V115" s="21"/>
    </row>
    <row r="116" spans="1:22" s="2" customFormat="1" ht="30" customHeight="1" x14ac:dyDescent="0.25">
      <c r="A116" s="542"/>
      <c r="B116" s="242" t="s">
        <v>139</v>
      </c>
      <c r="C116" s="217" t="s">
        <v>246</v>
      </c>
      <c r="D116" s="100">
        <f>D115+1</f>
        <v>92</v>
      </c>
      <c r="E116" s="435" t="s">
        <v>171</v>
      </c>
      <c r="F116" s="707" t="s">
        <v>285</v>
      </c>
      <c r="G116" s="924"/>
      <c r="H116" s="922"/>
      <c r="I116" s="923"/>
      <c r="J116" s="198" t="str">
        <f>IF(LEN(F116)&gt;0,"","Belum Terisi")</f>
        <v/>
      </c>
      <c r="K116" s="31"/>
      <c r="L116" s="43"/>
      <c r="M116" s="21" t="s">
        <v>667</v>
      </c>
      <c r="N116" s="21"/>
      <c r="O116" s="21"/>
      <c r="P116" s="21"/>
      <c r="Q116" s="21"/>
      <c r="R116" s="21"/>
      <c r="S116" s="21"/>
      <c r="T116" s="21"/>
      <c r="U116" s="21"/>
      <c r="V116" s="21"/>
    </row>
    <row r="117" spans="1:22" s="2" customFormat="1" ht="30" customHeight="1" x14ac:dyDescent="0.25">
      <c r="A117" s="555" t="s">
        <v>39</v>
      </c>
      <c r="B117" s="243"/>
      <c r="C117" s="215"/>
      <c r="D117" s="428"/>
      <c r="E117" s="429"/>
      <c r="F117" s="714"/>
      <c r="G117" s="924"/>
      <c r="H117" s="922"/>
      <c r="I117" s="923"/>
      <c r="J117" s="98"/>
      <c r="K117" s="31"/>
      <c r="L117" s="31"/>
      <c r="M117" s="21" t="s">
        <v>667</v>
      </c>
      <c r="N117" s="21"/>
      <c r="O117" s="21"/>
      <c r="P117" s="21"/>
      <c r="Q117" s="21"/>
      <c r="R117" s="21"/>
      <c r="S117" s="21"/>
      <c r="T117" s="21"/>
      <c r="U117" s="21"/>
      <c r="V117" s="21"/>
    </row>
    <row r="118" spans="1:22" s="2" customFormat="1" ht="30" customHeight="1" x14ac:dyDescent="0.25">
      <c r="A118" s="556" t="str">
        <f>"A "&amp;(RIGHT(A115,3)+1)</f>
        <v>A 116</v>
      </c>
      <c r="B118" s="228" t="s">
        <v>41</v>
      </c>
      <c r="C118" s="217" t="s">
        <v>40</v>
      </c>
      <c r="D118" s="100">
        <f>D116+1</f>
        <v>93</v>
      </c>
      <c r="E118" s="30" t="s">
        <v>261</v>
      </c>
      <c r="F118" s="715">
        <f>F119+F120</f>
        <v>2519</v>
      </c>
      <c r="G118" s="924"/>
      <c r="H118" s="922" t="s">
        <v>570</v>
      </c>
      <c r="I118" s="923"/>
      <c r="J118" s="200" t="str">
        <f>IF(F118="","Belum Terisi",IF(AND(F118&gt;=0,F118&lt;=120000),"","CEK"))</f>
        <v/>
      </c>
      <c r="K118" s="31" t="str">
        <f>IF(J118="CEK","Jumlah Penduduk Laki-laki dan Perempuan Diisi Angka dan &lt;= 120.000 Jiwa","")</f>
        <v/>
      </c>
      <c r="L118" s="43"/>
      <c r="M118" s="21" t="s">
        <v>667</v>
      </c>
      <c r="N118" s="21"/>
      <c r="O118" s="21"/>
      <c r="P118" s="21"/>
      <c r="Q118" s="21"/>
      <c r="R118" s="21"/>
      <c r="S118" s="21"/>
      <c r="T118" s="21"/>
      <c r="U118" s="21"/>
      <c r="V118" s="21"/>
    </row>
    <row r="119" spans="1:22" s="2" customFormat="1" ht="30" customHeight="1" x14ac:dyDescent="0.25">
      <c r="A119" s="557"/>
      <c r="B119" s="228" t="s">
        <v>139</v>
      </c>
      <c r="C119" s="217" t="s">
        <v>43</v>
      </c>
      <c r="D119" s="100">
        <f>D118+1</f>
        <v>94</v>
      </c>
      <c r="E119" s="427" t="s">
        <v>42</v>
      </c>
      <c r="F119" s="716">
        <v>1275</v>
      </c>
      <c r="G119" s="924"/>
      <c r="H119" s="922" t="s">
        <v>815</v>
      </c>
      <c r="I119" s="923"/>
      <c r="J119" s="198" t="str">
        <f>IF(LEN(F119)&gt;0,"","Belum Terisi")</f>
        <v/>
      </c>
      <c r="K119" s="31"/>
      <c r="L119" s="43"/>
      <c r="M119" s="21" t="s">
        <v>667</v>
      </c>
      <c r="N119" s="21"/>
      <c r="O119" s="21"/>
      <c r="P119" s="21"/>
      <c r="Q119" s="21"/>
      <c r="R119" s="21"/>
      <c r="S119" s="21"/>
      <c r="T119" s="21"/>
      <c r="U119" s="21"/>
      <c r="V119" s="21"/>
    </row>
    <row r="120" spans="1:22" s="2" customFormat="1" ht="30" customHeight="1" x14ac:dyDescent="0.25">
      <c r="A120" s="558"/>
      <c r="B120" s="228" t="s">
        <v>251</v>
      </c>
      <c r="C120" s="217" t="s">
        <v>44</v>
      </c>
      <c r="D120" s="100">
        <f>D119+1</f>
        <v>95</v>
      </c>
      <c r="E120" s="427" t="s">
        <v>42</v>
      </c>
      <c r="F120" s="717">
        <v>1244</v>
      </c>
      <c r="G120" s="924"/>
      <c r="H120" s="922" t="s">
        <v>815</v>
      </c>
      <c r="I120" s="923"/>
      <c r="J120" s="198" t="str">
        <f>IF(LEN(F120)&gt;0,"","Belum Terisi")</f>
        <v/>
      </c>
      <c r="K120" s="31"/>
      <c r="L120" s="43"/>
      <c r="M120" s="21" t="s">
        <v>667</v>
      </c>
      <c r="N120" s="21"/>
      <c r="O120" s="21"/>
      <c r="P120" s="21"/>
      <c r="Q120" s="21"/>
      <c r="R120" s="21"/>
      <c r="S120" s="21"/>
      <c r="T120" s="21"/>
      <c r="U120" s="21"/>
      <c r="V120" s="21"/>
    </row>
    <row r="121" spans="1:22" s="2" customFormat="1" ht="30" customHeight="1" x14ac:dyDescent="0.25">
      <c r="A121" s="559" t="s">
        <v>45</v>
      </c>
      <c r="B121" s="216"/>
      <c r="C121" s="240"/>
      <c r="D121" s="441"/>
      <c r="E121" s="429"/>
      <c r="F121" s="714"/>
      <c r="G121" s="924"/>
      <c r="H121" s="922"/>
      <c r="I121" s="923"/>
      <c r="J121" s="98"/>
      <c r="K121" s="31"/>
      <c r="L121" s="43"/>
      <c r="M121" s="21" t="s">
        <v>667</v>
      </c>
      <c r="N121" s="21"/>
      <c r="O121" s="21"/>
      <c r="P121" s="21"/>
      <c r="Q121" s="21"/>
      <c r="R121" s="21"/>
      <c r="S121" s="21"/>
      <c r="T121" s="21"/>
      <c r="U121" s="21"/>
      <c r="V121" s="21"/>
    </row>
    <row r="122" spans="1:22" s="2" customFormat="1" ht="30" customHeight="1" x14ac:dyDescent="0.25">
      <c r="A122" s="556" t="str">
        <f>"A "&amp;(RIGHT(A118,3)+1)</f>
        <v>A 117</v>
      </c>
      <c r="B122" s="228" t="s">
        <v>41</v>
      </c>
      <c r="C122" s="217" t="s">
        <v>189</v>
      </c>
      <c r="D122" s="100">
        <f>D120+1</f>
        <v>96</v>
      </c>
      <c r="E122" s="427" t="s">
        <v>46</v>
      </c>
      <c r="F122" s="718">
        <v>784</v>
      </c>
      <c r="G122" s="924"/>
      <c r="H122" s="928" t="s">
        <v>2655</v>
      </c>
      <c r="I122" s="930"/>
      <c r="J122" s="198" t="str">
        <f>IF(LEN(F122)&gt;0,"","Belum Terisi")</f>
        <v/>
      </c>
      <c r="K122" s="31"/>
      <c r="L122" s="43"/>
      <c r="M122" s="21" t="s">
        <v>667</v>
      </c>
      <c r="N122" s="21"/>
      <c r="O122" s="21"/>
      <c r="P122" s="21"/>
      <c r="Q122" s="21"/>
      <c r="R122" s="21"/>
      <c r="S122" s="21"/>
      <c r="T122" s="21"/>
      <c r="U122" s="21"/>
      <c r="V122" s="21"/>
    </row>
    <row r="123" spans="1:22" s="3" customFormat="1" ht="30" customHeight="1" x14ac:dyDescent="0.25">
      <c r="A123" s="557"/>
      <c r="B123" s="228" t="s">
        <v>139</v>
      </c>
      <c r="C123" s="217" t="s">
        <v>47</v>
      </c>
      <c r="D123" s="100">
        <f>D122+1</f>
        <v>97</v>
      </c>
      <c r="E123" s="427" t="s">
        <v>46</v>
      </c>
      <c r="F123" s="719">
        <v>118</v>
      </c>
      <c r="G123" s="924"/>
      <c r="H123" s="931" t="s">
        <v>816</v>
      </c>
      <c r="I123" s="932"/>
      <c r="J123" s="201" t="str">
        <f>IF(F123="","Belum Terisi",IF(OR(F123&gt;F122,F123&gt;F120),"CEK",""))</f>
        <v/>
      </c>
      <c r="K123" s="31" t="str">
        <f>IF(J123="CEK","Jumlah KK Perempuan Tidak Lebih dari Total KK dan Jumlah Penduduk Perempuan di Desa","")</f>
        <v/>
      </c>
      <c r="L123" s="31"/>
      <c r="M123" s="21" t="s">
        <v>667</v>
      </c>
      <c r="N123" s="848"/>
      <c r="O123" s="848"/>
      <c r="P123" s="848"/>
      <c r="Q123" s="848"/>
      <c r="R123" s="848"/>
      <c r="S123" s="848"/>
      <c r="T123" s="848"/>
      <c r="U123" s="848"/>
      <c r="V123" s="848"/>
    </row>
    <row r="124" spans="1:22" s="2" customFormat="1" ht="30" customHeight="1" x14ac:dyDescent="0.25">
      <c r="A124" s="561" t="str">
        <f>"A "&amp;(RIGHT(A122,3)+1)</f>
        <v>A 118</v>
      </c>
      <c r="B124" s="226"/>
      <c r="C124" s="217" t="s">
        <v>836</v>
      </c>
      <c r="D124" s="100">
        <f>D123+1</f>
        <v>98</v>
      </c>
      <c r="E124" s="435" t="s">
        <v>62</v>
      </c>
      <c r="F124" s="720">
        <v>771</v>
      </c>
      <c r="G124" s="924"/>
      <c r="H124" s="928" t="s">
        <v>814</v>
      </c>
      <c r="I124" s="923"/>
      <c r="J124" s="200" t="str">
        <f>IF(LEN(F124)&gt;0,"","Belum Terisi")</f>
        <v/>
      </c>
      <c r="K124" s="31"/>
      <c r="L124" s="43"/>
      <c r="M124" s="21" t="s">
        <v>667</v>
      </c>
      <c r="N124" s="21"/>
      <c r="O124" s="21"/>
      <c r="P124" s="21"/>
      <c r="Q124" s="21"/>
      <c r="R124" s="21"/>
      <c r="S124" s="21"/>
      <c r="T124" s="21"/>
      <c r="U124" s="21"/>
      <c r="V124" s="21"/>
    </row>
    <row r="125" spans="1:22" s="2" customFormat="1" ht="30" customHeight="1" x14ac:dyDescent="0.25">
      <c r="A125" s="560" t="s">
        <v>48</v>
      </c>
      <c r="B125" s="216"/>
      <c r="C125" s="240"/>
      <c r="D125" s="441"/>
      <c r="E125" s="429"/>
      <c r="F125" s="714"/>
      <c r="G125" s="924"/>
      <c r="H125" s="922"/>
      <c r="I125" s="923"/>
      <c r="J125" s="98"/>
      <c r="K125" s="31"/>
      <c r="L125" s="31"/>
      <c r="M125" s="21" t="s">
        <v>667</v>
      </c>
      <c r="N125" s="21"/>
      <c r="O125" s="21"/>
      <c r="P125" s="21"/>
      <c r="Q125" s="21"/>
      <c r="R125" s="21"/>
      <c r="S125" s="21"/>
      <c r="T125" s="21"/>
      <c r="U125" s="21"/>
      <c r="V125" s="21"/>
    </row>
    <row r="126" spans="1:22" s="2" customFormat="1" ht="30" customHeight="1" x14ac:dyDescent="0.25">
      <c r="A126" s="561" t="str">
        <f>"A "&amp;(RIGHT(A124,3)+1)</f>
        <v>A 119</v>
      </c>
      <c r="B126" s="241" t="s">
        <v>41</v>
      </c>
      <c r="C126" s="217" t="s">
        <v>1275</v>
      </c>
      <c r="D126" s="100">
        <f>D124+1</f>
        <v>99</v>
      </c>
      <c r="E126" s="427" t="s">
        <v>42</v>
      </c>
      <c r="F126" s="718">
        <v>9</v>
      </c>
      <c r="G126" s="924"/>
      <c r="H126" s="933" t="s">
        <v>817</v>
      </c>
      <c r="I126" s="923"/>
      <c r="J126" s="198" t="str">
        <f t="shared" ref="J126:J132" si="10">IF(F126="","Belum Terisi",IF(SUM($F$126:$F$132)&lt;&gt;$F$118,"CEK",""))</f>
        <v/>
      </c>
      <c r="K126" s="31" t="str">
        <f t="shared" ref="K126:K132" si="11">IF(J126="CEK","Total Penduduk Usia = Total Jumlah Penduduk","")</f>
        <v/>
      </c>
      <c r="L126" s="43"/>
      <c r="M126" s="21" t="s">
        <v>667</v>
      </c>
      <c r="N126" s="21"/>
      <c r="O126" s="21"/>
      <c r="P126" s="21"/>
      <c r="Q126" s="21"/>
      <c r="R126" s="21"/>
      <c r="S126" s="21"/>
      <c r="T126" s="21"/>
      <c r="U126" s="21"/>
      <c r="V126" s="21"/>
    </row>
    <row r="127" spans="1:22" s="2" customFormat="1" ht="30" customHeight="1" x14ac:dyDescent="0.25">
      <c r="A127" s="542"/>
      <c r="B127" s="241" t="s">
        <v>139</v>
      </c>
      <c r="C127" s="217" t="s">
        <v>1277</v>
      </c>
      <c r="D127" s="100">
        <f t="shared" ref="D127:D133" si="12">D126+1</f>
        <v>100</v>
      </c>
      <c r="E127" s="427" t="s">
        <v>42</v>
      </c>
      <c r="F127" s="716">
        <v>141</v>
      </c>
      <c r="G127" s="927" t="s">
        <v>590</v>
      </c>
      <c r="H127" s="933" t="s">
        <v>817</v>
      </c>
      <c r="I127" s="923"/>
      <c r="J127" s="198" t="str">
        <f t="shared" si="10"/>
        <v/>
      </c>
      <c r="K127" s="31" t="str">
        <f t="shared" si="11"/>
        <v/>
      </c>
      <c r="L127" s="43"/>
      <c r="M127" s="21" t="s">
        <v>667</v>
      </c>
      <c r="N127" s="21"/>
      <c r="O127" s="21"/>
      <c r="P127" s="21"/>
      <c r="Q127" s="21"/>
      <c r="R127" s="21"/>
      <c r="S127" s="21"/>
      <c r="T127" s="21"/>
      <c r="U127" s="21"/>
      <c r="V127" s="21"/>
    </row>
    <row r="128" spans="1:22" s="2" customFormat="1" ht="30" customHeight="1" x14ac:dyDescent="0.25">
      <c r="A128" s="542"/>
      <c r="B128" s="241" t="s">
        <v>251</v>
      </c>
      <c r="C128" s="217" t="s">
        <v>1281</v>
      </c>
      <c r="D128" s="100">
        <f t="shared" si="12"/>
        <v>101</v>
      </c>
      <c r="E128" s="427" t="s">
        <v>42</v>
      </c>
      <c r="F128" s="716">
        <v>401</v>
      </c>
      <c r="G128" s="927" t="s">
        <v>591</v>
      </c>
      <c r="H128" s="933" t="s">
        <v>817</v>
      </c>
      <c r="I128" s="923"/>
      <c r="J128" s="198" t="str">
        <f t="shared" si="10"/>
        <v/>
      </c>
      <c r="K128" s="31" t="str">
        <f t="shared" si="11"/>
        <v/>
      </c>
      <c r="L128" s="43"/>
      <c r="M128" s="21" t="s">
        <v>667</v>
      </c>
      <c r="N128" s="21"/>
      <c r="O128" s="21"/>
      <c r="P128" s="21"/>
      <c r="Q128" s="21"/>
      <c r="R128" s="21"/>
      <c r="S128" s="21"/>
      <c r="T128" s="21"/>
      <c r="U128" s="21"/>
      <c r="V128" s="21"/>
    </row>
    <row r="129" spans="1:22" s="2" customFormat="1" ht="30" customHeight="1" x14ac:dyDescent="0.25">
      <c r="A129" s="542"/>
      <c r="B129" s="241" t="s">
        <v>255</v>
      </c>
      <c r="C129" s="217" t="s">
        <v>1278</v>
      </c>
      <c r="D129" s="100">
        <f t="shared" si="12"/>
        <v>102</v>
      </c>
      <c r="E129" s="427" t="s">
        <v>42</v>
      </c>
      <c r="F129" s="716">
        <v>991</v>
      </c>
      <c r="G129" s="927" t="s">
        <v>592</v>
      </c>
      <c r="H129" s="933" t="s">
        <v>817</v>
      </c>
      <c r="I129" s="923"/>
      <c r="J129" s="198" t="str">
        <f t="shared" si="10"/>
        <v/>
      </c>
      <c r="K129" s="31" t="str">
        <f t="shared" si="11"/>
        <v/>
      </c>
      <c r="L129" s="43"/>
      <c r="M129" s="21" t="s">
        <v>667</v>
      </c>
      <c r="N129" s="21"/>
      <c r="O129" s="21"/>
      <c r="P129" s="21"/>
      <c r="Q129" s="21"/>
      <c r="R129" s="21"/>
      <c r="S129" s="21"/>
      <c r="T129" s="21"/>
      <c r="U129" s="21"/>
      <c r="V129" s="21"/>
    </row>
    <row r="130" spans="1:22" s="2" customFormat="1" ht="30" customHeight="1" x14ac:dyDescent="0.25">
      <c r="A130" s="542"/>
      <c r="B130" s="241" t="s">
        <v>252</v>
      </c>
      <c r="C130" s="217" t="s">
        <v>1279</v>
      </c>
      <c r="D130" s="100">
        <f t="shared" si="12"/>
        <v>103</v>
      </c>
      <c r="E130" s="427" t="s">
        <v>42</v>
      </c>
      <c r="F130" s="716">
        <v>700</v>
      </c>
      <c r="G130" s="927" t="s">
        <v>593</v>
      </c>
      <c r="H130" s="933" t="s">
        <v>817</v>
      </c>
      <c r="I130" s="923"/>
      <c r="J130" s="198" t="str">
        <f t="shared" si="10"/>
        <v/>
      </c>
      <c r="K130" s="31" t="str">
        <f t="shared" si="11"/>
        <v/>
      </c>
      <c r="L130" s="43"/>
      <c r="M130" s="21" t="s">
        <v>667</v>
      </c>
      <c r="N130" s="21"/>
      <c r="O130" s="21"/>
      <c r="P130" s="21"/>
      <c r="Q130" s="21"/>
      <c r="R130" s="21"/>
      <c r="S130" s="21"/>
      <c r="T130" s="21"/>
      <c r="U130" s="21"/>
      <c r="V130" s="21"/>
    </row>
    <row r="131" spans="1:22" s="2" customFormat="1" ht="30" customHeight="1" x14ac:dyDescent="0.25">
      <c r="A131" s="542"/>
      <c r="B131" s="241" t="s">
        <v>253</v>
      </c>
      <c r="C131" s="217" t="s">
        <v>1280</v>
      </c>
      <c r="D131" s="100">
        <f t="shared" si="12"/>
        <v>104</v>
      </c>
      <c r="E131" s="427" t="s">
        <v>42</v>
      </c>
      <c r="F131" s="716">
        <v>47</v>
      </c>
      <c r="G131" s="924"/>
      <c r="H131" s="933" t="s">
        <v>817</v>
      </c>
      <c r="I131" s="923"/>
      <c r="J131" s="198" t="str">
        <f t="shared" si="10"/>
        <v/>
      </c>
      <c r="K131" s="31" t="str">
        <f t="shared" si="11"/>
        <v/>
      </c>
      <c r="L131" s="43"/>
      <c r="M131" s="21" t="s">
        <v>667</v>
      </c>
      <c r="N131" s="21"/>
      <c r="O131" s="21"/>
      <c r="P131" s="21"/>
      <c r="Q131" s="21"/>
      <c r="R131" s="21"/>
      <c r="S131" s="21"/>
      <c r="T131" s="21"/>
      <c r="U131" s="21"/>
      <c r="V131" s="21"/>
    </row>
    <row r="132" spans="1:22" s="2" customFormat="1" ht="30" customHeight="1" x14ac:dyDescent="0.25">
      <c r="A132" s="542"/>
      <c r="B132" s="241" t="s">
        <v>254</v>
      </c>
      <c r="C132" s="217" t="s">
        <v>1276</v>
      </c>
      <c r="D132" s="100">
        <f t="shared" si="12"/>
        <v>105</v>
      </c>
      <c r="E132" s="427" t="s">
        <v>42</v>
      </c>
      <c r="F132" s="717">
        <v>230</v>
      </c>
      <c r="G132" s="924"/>
      <c r="H132" s="933" t="s">
        <v>817</v>
      </c>
      <c r="I132" s="923"/>
      <c r="J132" s="198" t="str">
        <f t="shared" si="10"/>
        <v/>
      </c>
      <c r="K132" s="31" t="str">
        <f t="shared" si="11"/>
        <v/>
      </c>
      <c r="L132" s="43"/>
      <c r="M132" s="21" t="s">
        <v>667</v>
      </c>
      <c r="N132" s="21"/>
      <c r="O132" s="21"/>
      <c r="P132" s="21"/>
      <c r="Q132" s="21"/>
      <c r="R132" s="21"/>
      <c r="S132" s="21"/>
      <c r="T132" s="21"/>
      <c r="U132" s="21"/>
      <c r="V132" s="21"/>
    </row>
    <row r="133" spans="1:22" s="2" customFormat="1" ht="30" customHeight="1" x14ac:dyDescent="0.25">
      <c r="A133" s="562" t="str">
        <f>"A "&amp;(RIGHT(A126,3)+1)</f>
        <v>A 120</v>
      </c>
      <c r="B133" s="244"/>
      <c r="C133" s="245" t="s">
        <v>247</v>
      </c>
      <c r="D133" s="100">
        <f t="shared" si="12"/>
        <v>106</v>
      </c>
      <c r="E133" s="442" t="s">
        <v>42</v>
      </c>
      <c r="F133" s="721">
        <v>40</v>
      </c>
      <c r="G133" s="927"/>
      <c r="H133" s="928" t="s">
        <v>818</v>
      </c>
      <c r="I133" s="923"/>
      <c r="J133" s="200" t="str">
        <f>IF(LEN(F133)&gt;0,"","Belum Terisi")</f>
        <v/>
      </c>
      <c r="K133" s="31"/>
      <c r="L133" s="31"/>
      <c r="M133" s="21" t="s">
        <v>667</v>
      </c>
      <c r="N133" s="21"/>
      <c r="O133" s="21"/>
      <c r="P133" s="21"/>
      <c r="Q133" s="21"/>
      <c r="R133" s="21"/>
      <c r="S133" s="21"/>
      <c r="T133" s="21"/>
      <c r="U133" s="21"/>
      <c r="V133" s="21"/>
    </row>
    <row r="134" spans="1:22" s="2" customFormat="1" ht="30" customHeight="1" x14ac:dyDescent="0.25">
      <c r="A134" s="545" t="s">
        <v>1432</v>
      </c>
      <c r="B134" s="221" t="s">
        <v>500</v>
      </c>
      <c r="C134" s="222"/>
      <c r="D134" s="443"/>
      <c r="E134" s="438"/>
      <c r="F134" s="713"/>
      <c r="G134" s="927"/>
      <c r="H134" s="928"/>
      <c r="I134" s="923"/>
      <c r="J134" s="98"/>
      <c r="K134" s="31"/>
      <c r="L134" s="43"/>
      <c r="M134" s="21" t="s">
        <v>667</v>
      </c>
      <c r="N134" s="21"/>
      <c r="O134" s="21"/>
      <c r="P134" s="21"/>
      <c r="Q134" s="21"/>
      <c r="R134" s="21"/>
      <c r="S134" s="21"/>
      <c r="T134" s="21"/>
      <c r="U134" s="21"/>
      <c r="V134" s="21"/>
    </row>
    <row r="135" spans="1:22" s="2" customFormat="1" ht="30" customHeight="1" x14ac:dyDescent="0.25">
      <c r="A135" s="546" t="s">
        <v>501</v>
      </c>
      <c r="B135" s="246"/>
      <c r="C135" s="222"/>
      <c r="D135" s="443"/>
      <c r="E135" s="433"/>
      <c r="F135" s="703"/>
      <c r="G135" s="927"/>
      <c r="H135" s="928"/>
      <c r="I135" s="923"/>
      <c r="J135" s="98"/>
      <c r="K135" s="31"/>
      <c r="L135" s="43"/>
      <c r="M135" s="21" t="s">
        <v>667</v>
      </c>
      <c r="N135" s="21"/>
      <c r="O135" s="21"/>
      <c r="P135" s="21"/>
      <c r="Q135" s="21"/>
      <c r="R135" s="21"/>
      <c r="S135" s="21"/>
      <c r="T135" s="21"/>
      <c r="U135" s="21"/>
      <c r="V135" s="21"/>
    </row>
    <row r="136" spans="1:22" s="2" customFormat="1" ht="30" customHeight="1" x14ac:dyDescent="0.25">
      <c r="A136" s="563" t="s">
        <v>1433</v>
      </c>
      <c r="B136" s="247"/>
      <c r="C136" s="230" t="s">
        <v>502</v>
      </c>
      <c r="D136" s="434">
        <f>D133+1</f>
        <v>107</v>
      </c>
      <c r="E136" s="444" t="s">
        <v>171</v>
      </c>
      <c r="F136" s="707">
        <v>5</v>
      </c>
      <c r="G136" s="927" t="s">
        <v>632</v>
      </c>
      <c r="H136" s="928"/>
      <c r="I136" s="923"/>
      <c r="J136" s="198" t="str">
        <f>IF(F136="","Belum Terisi",IF(OR(F136=1,F136=5),"","CEK"))</f>
        <v/>
      </c>
      <c r="K136" s="31" t="str">
        <f>IF(J136="CEK","Inputan Tidak Sesuai","")</f>
        <v/>
      </c>
      <c r="L136" s="31"/>
      <c r="M136" s="21" t="s">
        <v>667</v>
      </c>
      <c r="N136" s="21"/>
      <c r="O136" s="21"/>
      <c r="P136" s="21"/>
      <c r="Q136" s="21"/>
      <c r="R136" s="21"/>
      <c r="S136" s="21"/>
      <c r="T136" s="21"/>
      <c r="U136" s="21"/>
      <c r="V136" s="21"/>
    </row>
    <row r="137" spans="1:22" s="2" customFormat="1" ht="30" customHeight="1" x14ac:dyDescent="0.25">
      <c r="A137" s="564" t="str">
        <f>"A "&amp;(RIGHT(A136,3)+1)</f>
        <v>A 202</v>
      </c>
      <c r="B137" s="248"/>
      <c r="C137" s="230" t="s">
        <v>503</v>
      </c>
      <c r="D137" s="443"/>
      <c r="E137" s="436"/>
      <c r="F137" s="704"/>
      <c r="G137" s="927"/>
      <c r="H137" s="928"/>
      <c r="I137" s="923"/>
      <c r="J137" s="98"/>
      <c r="K137" s="31"/>
      <c r="L137" s="43"/>
      <c r="M137" s="21" t="s">
        <v>667</v>
      </c>
      <c r="N137" s="21"/>
      <c r="O137" s="21"/>
      <c r="P137" s="21"/>
      <c r="Q137" s="21"/>
      <c r="R137" s="21"/>
      <c r="S137" s="21"/>
      <c r="T137" s="21"/>
      <c r="U137" s="21"/>
      <c r="V137" s="21"/>
    </row>
    <row r="138" spans="1:22" s="2" customFormat="1" ht="30" customHeight="1" x14ac:dyDescent="0.25">
      <c r="A138" s="565"/>
      <c r="B138" s="249" t="s">
        <v>41</v>
      </c>
      <c r="C138" s="230" t="s">
        <v>1434</v>
      </c>
      <c r="D138" s="434">
        <f>D136+1</f>
        <v>108</v>
      </c>
      <c r="E138" s="445" t="s">
        <v>81</v>
      </c>
      <c r="F138" s="795">
        <v>3500000</v>
      </c>
      <c r="G138" s="927" t="s">
        <v>632</v>
      </c>
      <c r="H138" s="928"/>
      <c r="I138" s="923"/>
      <c r="J138" s="198" t="str">
        <f t="shared" ref="J138:J148" si="13">IF(LEN(F138)&gt;0,"","Belum Terisi")</f>
        <v/>
      </c>
      <c r="K138" s="31"/>
      <c r="L138" s="43"/>
      <c r="M138" s="21" t="s">
        <v>667</v>
      </c>
      <c r="N138" s="21"/>
      <c r="O138" s="21"/>
      <c r="P138" s="21"/>
      <c r="Q138" s="21"/>
      <c r="R138" s="21"/>
      <c r="S138" s="21"/>
      <c r="T138" s="21"/>
      <c r="U138" s="21"/>
      <c r="V138" s="21"/>
    </row>
    <row r="139" spans="1:22" s="2" customFormat="1" ht="30" customHeight="1" x14ac:dyDescent="0.25">
      <c r="A139" s="566"/>
      <c r="B139" s="249" t="s">
        <v>139</v>
      </c>
      <c r="C139" s="230" t="s">
        <v>1435</v>
      </c>
      <c r="D139" s="434">
        <f t="shared" ref="D139:D148" si="14">D138+1</f>
        <v>109</v>
      </c>
      <c r="E139" s="445" t="s">
        <v>81</v>
      </c>
      <c r="F139" s="796">
        <v>0</v>
      </c>
      <c r="G139" s="927" t="s">
        <v>632</v>
      </c>
      <c r="H139" s="928"/>
      <c r="I139" s="923"/>
      <c r="J139" s="198" t="str">
        <f t="shared" si="13"/>
        <v/>
      </c>
      <c r="K139" s="31"/>
      <c r="L139" s="43"/>
      <c r="M139" s="21" t="s">
        <v>667</v>
      </c>
      <c r="N139" s="21"/>
      <c r="O139" s="21"/>
      <c r="P139" s="21"/>
      <c r="Q139" s="21"/>
      <c r="R139" s="21"/>
      <c r="S139" s="21"/>
      <c r="T139" s="21"/>
      <c r="U139" s="21"/>
      <c r="V139" s="21"/>
    </row>
    <row r="140" spans="1:22" s="2" customFormat="1" ht="30" customHeight="1" x14ac:dyDescent="0.25">
      <c r="A140" s="566"/>
      <c r="B140" s="249" t="s">
        <v>251</v>
      </c>
      <c r="C140" s="230" t="s">
        <v>1436</v>
      </c>
      <c r="D140" s="434">
        <f t="shared" si="14"/>
        <v>110</v>
      </c>
      <c r="E140" s="445" t="s">
        <v>81</v>
      </c>
      <c r="F140" s="796">
        <v>0</v>
      </c>
      <c r="G140" s="927" t="s">
        <v>632</v>
      </c>
      <c r="H140" s="928"/>
      <c r="I140" s="923"/>
      <c r="J140" s="198" t="str">
        <f t="shared" si="13"/>
        <v/>
      </c>
      <c r="K140" s="31"/>
      <c r="L140" s="31"/>
      <c r="M140" s="21" t="s">
        <v>667</v>
      </c>
      <c r="N140" s="21"/>
      <c r="O140" s="21"/>
      <c r="P140" s="21"/>
      <c r="Q140" s="21"/>
      <c r="R140" s="21"/>
      <c r="S140" s="21"/>
      <c r="T140" s="21"/>
      <c r="U140" s="21"/>
      <c r="V140" s="21"/>
    </row>
    <row r="141" spans="1:22" s="2" customFormat="1" ht="30" customHeight="1" x14ac:dyDescent="0.25">
      <c r="A141" s="567"/>
      <c r="B141" s="249" t="s">
        <v>255</v>
      </c>
      <c r="C141" s="230" t="s">
        <v>1437</v>
      </c>
      <c r="D141" s="434">
        <f t="shared" si="14"/>
        <v>111</v>
      </c>
      <c r="E141" s="445" t="s">
        <v>81</v>
      </c>
      <c r="F141" s="797">
        <v>0</v>
      </c>
      <c r="G141" s="927" t="s">
        <v>632</v>
      </c>
      <c r="H141" s="928"/>
      <c r="I141" s="923"/>
      <c r="J141" s="198" t="str">
        <f t="shared" si="13"/>
        <v/>
      </c>
      <c r="K141" s="31"/>
      <c r="L141" s="43"/>
      <c r="M141" s="21" t="s">
        <v>667</v>
      </c>
      <c r="N141" s="21"/>
      <c r="O141" s="21"/>
      <c r="P141" s="21"/>
      <c r="Q141" s="21"/>
      <c r="R141" s="21"/>
      <c r="S141" s="21"/>
      <c r="T141" s="21"/>
      <c r="U141" s="21"/>
      <c r="V141" s="21"/>
    </row>
    <row r="142" spans="1:22" s="2" customFormat="1" ht="30" customHeight="1" x14ac:dyDescent="0.25">
      <c r="A142" s="551" t="str">
        <f>"A "&amp;(RIGHT(A137,3)+1)</f>
        <v>A 203</v>
      </c>
      <c r="B142" s="249" t="s">
        <v>41</v>
      </c>
      <c r="C142" s="236" t="s">
        <v>721</v>
      </c>
      <c r="D142" s="434">
        <f t="shared" si="14"/>
        <v>112</v>
      </c>
      <c r="E142" s="55" t="s">
        <v>504</v>
      </c>
      <c r="F142" s="798">
        <f>SUM(F138:F141)</f>
        <v>3500000</v>
      </c>
      <c r="G142" s="927" t="s">
        <v>632</v>
      </c>
      <c r="H142" s="934"/>
      <c r="I142" s="923"/>
      <c r="J142" s="198" t="str">
        <f t="shared" si="13"/>
        <v/>
      </c>
      <c r="K142" s="31"/>
      <c r="L142" s="43"/>
      <c r="M142" s="21" t="s">
        <v>667</v>
      </c>
      <c r="N142" s="21"/>
      <c r="O142" s="21"/>
      <c r="P142" s="21"/>
      <c r="Q142" s="21"/>
      <c r="R142" s="21"/>
      <c r="S142" s="21"/>
      <c r="T142" s="21"/>
      <c r="U142" s="21"/>
      <c r="V142" s="21"/>
    </row>
    <row r="143" spans="1:22" s="2" customFormat="1" ht="30" customHeight="1" x14ac:dyDescent="0.25">
      <c r="A143" s="565"/>
      <c r="B143" s="249" t="s">
        <v>139</v>
      </c>
      <c r="C143" s="236" t="s">
        <v>722</v>
      </c>
      <c r="D143" s="434">
        <f t="shared" si="14"/>
        <v>113</v>
      </c>
      <c r="E143" s="446" t="s">
        <v>81</v>
      </c>
      <c r="F143" s="796">
        <v>1500000</v>
      </c>
      <c r="G143" s="927" t="s">
        <v>632</v>
      </c>
      <c r="H143" s="928"/>
      <c r="I143" s="923"/>
      <c r="J143" s="198" t="str">
        <f t="shared" si="13"/>
        <v/>
      </c>
      <c r="K143" s="31"/>
      <c r="L143" s="43"/>
      <c r="M143" s="21" t="s">
        <v>667</v>
      </c>
      <c r="N143" s="21"/>
      <c r="O143" s="21"/>
      <c r="P143" s="21"/>
      <c r="Q143" s="21"/>
      <c r="R143" s="21"/>
      <c r="S143" s="21"/>
      <c r="T143" s="21"/>
      <c r="U143" s="21"/>
      <c r="V143" s="21"/>
    </row>
    <row r="144" spans="1:22" s="2" customFormat="1" ht="30" customHeight="1" x14ac:dyDescent="0.25">
      <c r="A144" s="568"/>
      <c r="B144" s="249" t="s">
        <v>251</v>
      </c>
      <c r="C144" s="236" t="s">
        <v>505</v>
      </c>
      <c r="D144" s="434">
        <f t="shared" si="14"/>
        <v>114</v>
      </c>
      <c r="E144" s="56">
        <f>IFERROR((F142-F143)/F143,0)</f>
        <v>1.3333333333333333</v>
      </c>
      <c r="F144" s="799">
        <f>IF(AND(E144&gt;0%,E144&lt;=1%),4,IF(E144&gt;1%,5,IF(E144&lt;0%,1,2)))</f>
        <v>5</v>
      </c>
      <c r="G144" s="927" t="s">
        <v>632</v>
      </c>
      <c r="H144" s="928"/>
      <c r="I144" s="923"/>
      <c r="J144" s="198" t="str">
        <f t="shared" si="13"/>
        <v/>
      </c>
      <c r="K144" s="31"/>
      <c r="L144" s="31"/>
      <c r="M144" s="21" t="s">
        <v>667</v>
      </c>
      <c r="N144" s="21"/>
      <c r="O144" s="21"/>
      <c r="P144" s="21"/>
      <c r="Q144" s="21"/>
      <c r="R144" s="21"/>
      <c r="S144" s="21"/>
      <c r="T144" s="21"/>
      <c r="U144" s="21"/>
      <c r="V144" s="21"/>
    </row>
    <row r="145" spans="1:22" s="2" customFormat="1" ht="30" customHeight="1" x14ac:dyDescent="0.25">
      <c r="A145" s="564" t="str">
        <f>"A "&amp;(RIGHT(A142,3)+1)</f>
        <v>A 204</v>
      </c>
      <c r="B145" s="247"/>
      <c r="C145" s="236" t="s">
        <v>506</v>
      </c>
      <c r="D145" s="434">
        <f t="shared" si="14"/>
        <v>115</v>
      </c>
      <c r="E145" s="435" t="s">
        <v>171</v>
      </c>
      <c r="F145" s="686">
        <v>1</v>
      </c>
      <c r="G145" s="927" t="s">
        <v>632</v>
      </c>
      <c r="H145" s="928"/>
      <c r="I145" s="923"/>
      <c r="J145" s="198" t="str">
        <f>IF(F145="","Belum Terisi",IF(OR(F145=1,F145=5),"","CEK"))</f>
        <v/>
      </c>
      <c r="K145" s="31" t="str">
        <f>IF(J145="CEK","Inputan Tidak Sesuai","")</f>
        <v/>
      </c>
      <c r="L145" s="43"/>
      <c r="M145" s="21" t="s">
        <v>667</v>
      </c>
      <c r="N145" s="847" t="s">
        <v>668</v>
      </c>
      <c r="O145" s="21"/>
      <c r="P145" s="21"/>
      <c r="Q145" s="21"/>
      <c r="R145" s="21"/>
      <c r="S145" s="21"/>
      <c r="T145" s="21"/>
      <c r="U145" s="21"/>
      <c r="V145" s="21"/>
    </row>
    <row r="146" spans="1:22" s="2" customFormat="1" ht="30" customHeight="1" x14ac:dyDescent="0.25">
      <c r="A146" s="551" t="str">
        <f>"A "&amp;(RIGHT(A145,3)+1)</f>
        <v>A 205</v>
      </c>
      <c r="B146" s="249" t="s">
        <v>41</v>
      </c>
      <c r="C146" s="236" t="s">
        <v>2678</v>
      </c>
      <c r="D146" s="434">
        <f t="shared" si="14"/>
        <v>116</v>
      </c>
      <c r="E146" s="446" t="s">
        <v>81</v>
      </c>
      <c r="F146" s="795">
        <v>1030004000</v>
      </c>
      <c r="G146" s="935"/>
      <c r="H146" s="934"/>
      <c r="I146" s="923"/>
      <c r="J146" s="198" t="str">
        <f t="shared" si="13"/>
        <v/>
      </c>
      <c r="K146" s="31"/>
      <c r="L146" s="43"/>
      <c r="M146" s="21" t="s">
        <v>667</v>
      </c>
      <c r="N146" s="847" t="s">
        <v>668</v>
      </c>
      <c r="O146" s="21"/>
      <c r="P146" s="21"/>
      <c r="Q146" s="21"/>
      <c r="R146" s="21"/>
      <c r="S146" s="21"/>
      <c r="T146" s="21"/>
      <c r="U146" s="21"/>
      <c r="V146" s="21"/>
    </row>
    <row r="147" spans="1:22" s="2" customFormat="1" ht="30" customHeight="1" x14ac:dyDescent="0.25">
      <c r="A147" s="565"/>
      <c r="B147" s="249" t="s">
        <v>139</v>
      </c>
      <c r="C147" s="236" t="s">
        <v>2467</v>
      </c>
      <c r="D147" s="434">
        <f t="shared" si="14"/>
        <v>117</v>
      </c>
      <c r="E147" s="445" t="s">
        <v>81</v>
      </c>
      <c r="F147" s="796">
        <v>0</v>
      </c>
      <c r="G147" s="935"/>
      <c r="H147" s="934"/>
      <c r="I147" s="923"/>
      <c r="J147" s="198" t="str">
        <f>IF(F147="","Belum Terisi",IF(AND(F145=1,F147&lt;&gt;0),"CEK",IF(AND(F145=5,F147=0),"CEK","")))</f>
        <v/>
      </c>
      <c r="K147" s="31" t="str">
        <f>IF(AND(J147="CEK",F145=1),"Tidak dilakukan Penyertaan Modal dari Dana Desa kepada Bumdesa (A  205)",IF(AND(J147="CEK",F145=5),"Terdapat Penyertaan Modal dari Dana Desa kepada Bumdesa (A  205)",""))</f>
        <v/>
      </c>
      <c r="L147" s="43"/>
      <c r="M147" s="21" t="s">
        <v>667</v>
      </c>
      <c r="N147" s="21"/>
      <c r="O147" s="21"/>
      <c r="P147" s="21"/>
      <c r="Q147" s="21"/>
      <c r="R147" s="21"/>
      <c r="S147" s="21"/>
      <c r="T147" s="21"/>
      <c r="U147" s="21"/>
      <c r="V147" s="21"/>
    </row>
    <row r="148" spans="1:22" s="2" customFormat="1" ht="30" customHeight="1" x14ac:dyDescent="0.25">
      <c r="A148" s="568"/>
      <c r="B148" s="249" t="s">
        <v>251</v>
      </c>
      <c r="C148" s="236" t="s">
        <v>507</v>
      </c>
      <c r="D148" s="434">
        <f t="shared" si="14"/>
        <v>118</v>
      </c>
      <c r="E148" s="447" t="s">
        <v>504</v>
      </c>
      <c r="F148" s="800">
        <f>IFERROR(F147/F146,0)</f>
        <v>0</v>
      </c>
      <c r="G148" s="936"/>
      <c r="H148" s="928"/>
      <c r="I148" s="923"/>
      <c r="J148" s="198" t="str">
        <f t="shared" si="13"/>
        <v/>
      </c>
      <c r="K148" s="31"/>
      <c r="L148" s="31"/>
      <c r="M148" s="21" t="s">
        <v>667</v>
      </c>
      <c r="N148" s="21"/>
      <c r="O148" s="21"/>
      <c r="P148" s="21"/>
      <c r="Q148" s="21"/>
      <c r="R148" s="21"/>
      <c r="S148" s="21"/>
      <c r="T148" s="21"/>
      <c r="U148" s="21"/>
      <c r="V148" s="21"/>
    </row>
    <row r="149" spans="1:22" s="25" customFormat="1" ht="30" customHeight="1" x14ac:dyDescent="0.25">
      <c r="A149" s="546" t="s">
        <v>508</v>
      </c>
      <c r="B149" s="221"/>
      <c r="C149" s="222"/>
      <c r="D149" s="448"/>
      <c r="E149" s="449"/>
      <c r="F149" s="722"/>
      <c r="G149" s="921"/>
      <c r="H149" s="923"/>
      <c r="I149" s="923"/>
      <c r="J149" s="202"/>
      <c r="K149" s="682"/>
      <c r="L149" s="57"/>
      <c r="M149" s="849" t="s">
        <v>667</v>
      </c>
      <c r="N149" s="849"/>
      <c r="O149" s="849"/>
      <c r="P149" s="849"/>
      <c r="Q149" s="849"/>
      <c r="R149" s="849"/>
      <c r="S149" s="849"/>
      <c r="T149" s="849"/>
      <c r="U149" s="849"/>
      <c r="V149" s="849"/>
    </row>
    <row r="150" spans="1:22" s="2" customFormat="1" ht="30" customHeight="1" x14ac:dyDescent="0.25">
      <c r="A150" s="564" t="str">
        <f>"A "&amp;(RIGHT(A146,3)+1)</f>
        <v>A 206</v>
      </c>
      <c r="B150" s="248"/>
      <c r="C150" s="236" t="s">
        <v>509</v>
      </c>
      <c r="D150" s="443"/>
      <c r="E150" s="433"/>
      <c r="F150" s="723"/>
      <c r="G150" s="924"/>
      <c r="H150" s="928"/>
      <c r="I150" s="923"/>
      <c r="J150" s="98"/>
      <c r="K150" s="31"/>
      <c r="L150" s="31"/>
      <c r="M150" s="21" t="s">
        <v>667</v>
      </c>
      <c r="N150" s="21"/>
      <c r="O150" s="21"/>
      <c r="P150" s="21"/>
      <c r="Q150" s="21"/>
      <c r="R150" s="21"/>
      <c r="S150" s="21"/>
      <c r="T150" s="21"/>
      <c r="U150" s="21"/>
      <c r="V150" s="21"/>
    </row>
    <row r="151" spans="1:22" s="2" customFormat="1" ht="30" customHeight="1" x14ac:dyDescent="0.25">
      <c r="A151" s="565"/>
      <c r="B151" s="249" t="s">
        <v>41</v>
      </c>
      <c r="C151" s="236" t="s">
        <v>1438</v>
      </c>
      <c r="D151" s="434">
        <f>D148+1</f>
        <v>119</v>
      </c>
      <c r="E151" s="435" t="s">
        <v>171</v>
      </c>
      <c r="F151" s="686">
        <v>3</v>
      </c>
      <c r="G151" s="927" t="s">
        <v>633</v>
      </c>
      <c r="H151" s="937"/>
      <c r="I151" s="923"/>
      <c r="J151" s="198" t="str">
        <f>IF(F151="","Belum Terisi",IF(OR(F151=1,F151=3,F151=5),"","CEK"))</f>
        <v/>
      </c>
      <c r="K151" s="31" t="str">
        <f>IF(J151="CEK","Inputan Tidak Sesuai","")</f>
        <v/>
      </c>
      <c r="L151" s="43"/>
      <c r="M151" s="21" t="s">
        <v>667</v>
      </c>
      <c r="N151" s="21"/>
      <c r="O151" s="21"/>
      <c r="P151" s="21"/>
      <c r="Q151" s="21"/>
      <c r="R151" s="21"/>
      <c r="S151" s="21"/>
      <c r="T151" s="21"/>
      <c r="U151" s="21"/>
      <c r="V151" s="21"/>
    </row>
    <row r="152" spans="1:22" s="2" customFormat="1" ht="30" customHeight="1" x14ac:dyDescent="0.25">
      <c r="A152" s="565"/>
      <c r="B152" s="249" t="s">
        <v>139</v>
      </c>
      <c r="C152" s="236" t="s">
        <v>1439</v>
      </c>
      <c r="D152" s="434">
        <f>D151+1</f>
        <v>120</v>
      </c>
      <c r="E152" s="435" t="s">
        <v>171</v>
      </c>
      <c r="F152" s="706">
        <v>5</v>
      </c>
      <c r="G152" s="927" t="s">
        <v>633</v>
      </c>
      <c r="H152" s="937"/>
      <c r="I152" s="923"/>
      <c r="J152" s="198" t="str">
        <f t="shared" ref="J152:J154" si="15">IF(F152="","Belum Terisi",IF(OR(F152=1,F152=3,F152=5),"","CEK"))</f>
        <v/>
      </c>
      <c r="K152" s="31" t="str">
        <f t="shared" ref="K152:K154" si="16">IF(J152="CEK","Inputan Tidak Sesuai","")</f>
        <v/>
      </c>
      <c r="L152" s="43"/>
      <c r="M152" s="21" t="s">
        <v>667</v>
      </c>
      <c r="N152" s="21"/>
      <c r="O152" s="21"/>
      <c r="P152" s="21"/>
      <c r="Q152" s="21"/>
      <c r="R152" s="21"/>
      <c r="S152" s="21"/>
      <c r="T152" s="21"/>
      <c r="U152" s="21"/>
      <c r="V152" s="21"/>
    </row>
    <row r="153" spans="1:22" s="2" customFormat="1" ht="30" customHeight="1" x14ac:dyDescent="0.25">
      <c r="A153" s="565"/>
      <c r="B153" s="249" t="s">
        <v>251</v>
      </c>
      <c r="C153" s="236" t="s">
        <v>1440</v>
      </c>
      <c r="D153" s="434">
        <f>D152+1</f>
        <v>121</v>
      </c>
      <c r="E153" s="435" t="s">
        <v>171</v>
      </c>
      <c r="F153" s="706">
        <v>1</v>
      </c>
      <c r="G153" s="927" t="s">
        <v>633</v>
      </c>
      <c r="H153" s="934"/>
      <c r="I153" s="923"/>
      <c r="J153" s="198" t="str">
        <f t="shared" si="15"/>
        <v/>
      </c>
      <c r="K153" s="31" t="str">
        <f t="shared" si="16"/>
        <v/>
      </c>
      <c r="L153" s="43"/>
      <c r="M153" s="21" t="s">
        <v>667</v>
      </c>
      <c r="N153" s="21"/>
      <c r="O153" s="21"/>
      <c r="P153" s="21"/>
      <c r="Q153" s="21"/>
      <c r="R153" s="21"/>
      <c r="S153" s="21"/>
      <c r="T153" s="21"/>
      <c r="U153" s="21"/>
      <c r="V153" s="21"/>
    </row>
    <row r="154" spans="1:22" s="2" customFormat="1" ht="30" customHeight="1" x14ac:dyDescent="0.25">
      <c r="A154" s="568"/>
      <c r="B154" s="249" t="s">
        <v>255</v>
      </c>
      <c r="C154" s="236" t="s">
        <v>1441</v>
      </c>
      <c r="D154" s="434">
        <f>D153+1</f>
        <v>122</v>
      </c>
      <c r="E154" s="439" t="s">
        <v>171</v>
      </c>
      <c r="F154" s="801">
        <v>1</v>
      </c>
      <c r="G154" s="927" t="s">
        <v>633</v>
      </c>
      <c r="H154" s="934"/>
      <c r="I154" s="923"/>
      <c r="J154" s="198" t="str">
        <f t="shared" si="15"/>
        <v/>
      </c>
      <c r="K154" s="31" t="str">
        <f t="shared" si="16"/>
        <v/>
      </c>
      <c r="L154" s="31"/>
      <c r="M154" s="21" t="s">
        <v>667</v>
      </c>
      <c r="N154" s="21"/>
      <c r="O154" s="21"/>
      <c r="P154" s="21"/>
      <c r="Q154" s="21"/>
      <c r="R154" s="21"/>
      <c r="S154" s="21"/>
      <c r="T154" s="21"/>
      <c r="U154" s="21"/>
      <c r="V154" s="21"/>
    </row>
    <row r="155" spans="1:22" s="2" customFormat="1" ht="30" customHeight="1" x14ac:dyDescent="0.25">
      <c r="A155" s="551" t="str">
        <f>"A "&amp;(RIGHT(A150,3)+1)</f>
        <v>A 207</v>
      </c>
      <c r="B155" s="249" t="s">
        <v>41</v>
      </c>
      <c r="C155" s="236" t="s">
        <v>510</v>
      </c>
      <c r="D155" s="434">
        <f>D154+1</f>
        <v>123</v>
      </c>
      <c r="E155" s="450">
        <f>COUNTIF(F151:F154,"5")/4</f>
        <v>0.25</v>
      </c>
      <c r="F155" s="802">
        <f>IF(E155&lt;=20%,1,
IF(AND(E155&gt;20%,E155&lt;=40%),2,
IF(AND(E155&gt;40%,E155&lt;=60%),3,
IF(AND(E155&gt;60%,E155&lt;=80%),4,
IF(AND(E155&gt;80%,E155&lt;=100%),5,"Tidak Teridentifikasi")))))</f>
        <v>2</v>
      </c>
      <c r="G155" s="927" t="s">
        <v>633</v>
      </c>
      <c r="H155" s="928"/>
      <c r="I155" s="923"/>
      <c r="J155" s="198" t="str">
        <f>IF(F155="","Belum Terisi",IF(AND(F155&gt;=1,F155&lt;=5),"","CEK"))</f>
        <v/>
      </c>
      <c r="K155" s="31" t="str">
        <f>IF(J155="CEK","Inputan Tidak Sesuai","")</f>
        <v/>
      </c>
      <c r="L155" s="43"/>
      <c r="M155" s="21" t="s">
        <v>667</v>
      </c>
      <c r="N155" s="21"/>
      <c r="O155" s="21"/>
      <c r="P155" s="21"/>
      <c r="Q155" s="21"/>
      <c r="R155" s="21"/>
      <c r="S155" s="21"/>
      <c r="T155" s="21"/>
      <c r="U155" s="21"/>
      <c r="V155" s="21"/>
    </row>
    <row r="156" spans="1:22" s="2" customFormat="1" ht="30" customHeight="1" x14ac:dyDescent="0.25">
      <c r="A156" s="568"/>
      <c r="B156" s="249" t="s">
        <v>139</v>
      </c>
      <c r="C156" s="236" t="s">
        <v>511</v>
      </c>
      <c r="D156" s="434">
        <f>D155+1</f>
        <v>124</v>
      </c>
      <c r="E156" s="439" t="s">
        <v>171</v>
      </c>
      <c r="F156" s="801">
        <v>5</v>
      </c>
      <c r="G156" s="927" t="s">
        <v>633</v>
      </c>
      <c r="H156" s="928"/>
      <c r="I156" s="923"/>
      <c r="J156" s="198" t="str">
        <f>IF(F156="","Belum Terisi",IF(OR(F156=1,F156=5),"","CEK"))</f>
        <v/>
      </c>
      <c r="K156" s="31" t="str">
        <f>IF(J156="CEK","Inputan Tidak Sesuai","")</f>
        <v/>
      </c>
      <c r="L156" s="43"/>
      <c r="M156" s="21" t="s">
        <v>667</v>
      </c>
      <c r="N156" s="21"/>
      <c r="O156" s="21"/>
      <c r="P156" s="21"/>
      <c r="Q156" s="21"/>
      <c r="R156" s="21"/>
      <c r="S156" s="21"/>
      <c r="T156" s="21"/>
      <c r="U156" s="21"/>
      <c r="V156" s="21"/>
    </row>
    <row r="157" spans="1:22" s="2" customFormat="1" ht="30" customHeight="1" x14ac:dyDescent="0.25">
      <c r="A157" s="546" t="s">
        <v>583</v>
      </c>
      <c r="B157" s="247"/>
      <c r="C157" s="222"/>
      <c r="D157" s="451"/>
      <c r="E157" s="452"/>
      <c r="F157" s="714"/>
      <c r="G157" s="924"/>
      <c r="H157" s="928"/>
      <c r="I157" s="923"/>
      <c r="J157" s="98"/>
      <c r="K157" s="31"/>
      <c r="L157" s="43"/>
      <c r="M157" s="21" t="s">
        <v>667</v>
      </c>
      <c r="N157" s="21"/>
      <c r="O157" s="21"/>
      <c r="P157" s="21"/>
      <c r="Q157" s="21"/>
      <c r="R157" s="21"/>
      <c r="S157" s="21"/>
      <c r="T157" s="21"/>
      <c r="U157" s="21"/>
      <c r="V157" s="21"/>
    </row>
    <row r="158" spans="1:22" s="2" customFormat="1" ht="30" customHeight="1" x14ac:dyDescent="0.25">
      <c r="A158" s="564" t="str">
        <f>"A "&amp;(RIGHT(A155,3)+1)</f>
        <v>A 208</v>
      </c>
      <c r="B158" s="250"/>
      <c r="C158" s="236" t="s">
        <v>512</v>
      </c>
      <c r="D158" s="434">
        <f>D156+1</f>
        <v>125</v>
      </c>
      <c r="E158" s="453" t="s">
        <v>513</v>
      </c>
      <c r="F158" s="724">
        <v>2</v>
      </c>
      <c r="G158" s="927"/>
      <c r="H158" s="934" t="s">
        <v>714</v>
      </c>
      <c r="I158" s="923"/>
      <c r="J158" s="198" t="str">
        <f t="shared" ref="J158:J164" si="17">IF(LEN(F158)&gt;0,"","Belum Terisi")</f>
        <v/>
      </c>
      <c r="K158" s="31"/>
      <c r="L158" s="31"/>
      <c r="M158" s="21" t="s">
        <v>667</v>
      </c>
      <c r="N158" s="21"/>
      <c r="O158" s="21"/>
      <c r="P158" s="21"/>
      <c r="Q158" s="21"/>
      <c r="R158" s="21"/>
      <c r="S158" s="21"/>
      <c r="T158" s="21"/>
      <c r="U158" s="21"/>
      <c r="V158" s="21"/>
    </row>
    <row r="159" spans="1:22" s="2" customFormat="1" ht="30" customHeight="1" x14ac:dyDescent="0.25">
      <c r="A159" s="565"/>
      <c r="B159" s="249" t="s">
        <v>41</v>
      </c>
      <c r="C159" s="236" t="s">
        <v>1881</v>
      </c>
      <c r="D159" s="434">
        <f t="shared" ref="D159:D164" si="18">D158+1</f>
        <v>126</v>
      </c>
      <c r="E159" s="427" t="s">
        <v>171</v>
      </c>
      <c r="F159" s="693" t="s">
        <v>285</v>
      </c>
      <c r="G159" s="924"/>
      <c r="H159" s="922"/>
      <c r="I159" s="923"/>
      <c r="J159" s="198" t="str">
        <f t="shared" si="17"/>
        <v/>
      </c>
      <c r="K159" s="31"/>
      <c r="L159" s="43"/>
      <c r="M159" s="847" t="s">
        <v>667</v>
      </c>
      <c r="N159" s="21"/>
      <c r="O159" s="21"/>
      <c r="P159" s="21"/>
      <c r="Q159" s="21"/>
      <c r="R159" s="21"/>
      <c r="S159" s="21"/>
      <c r="T159" s="21"/>
      <c r="U159" s="21"/>
      <c r="V159" s="21"/>
    </row>
    <row r="160" spans="1:22" s="2" customFormat="1" ht="30" customHeight="1" x14ac:dyDescent="0.25">
      <c r="A160" s="565"/>
      <c r="B160" s="249" t="s">
        <v>139</v>
      </c>
      <c r="C160" s="236" t="s">
        <v>1882</v>
      </c>
      <c r="D160" s="434">
        <f t="shared" si="18"/>
        <v>127</v>
      </c>
      <c r="E160" s="427" t="s">
        <v>171</v>
      </c>
      <c r="F160" s="694" t="s">
        <v>285</v>
      </c>
      <c r="G160" s="924"/>
      <c r="H160" s="922"/>
      <c r="I160" s="923"/>
      <c r="J160" s="198" t="str">
        <f t="shared" si="17"/>
        <v/>
      </c>
      <c r="K160" s="31"/>
      <c r="L160" s="31"/>
      <c r="M160" s="847" t="s">
        <v>667</v>
      </c>
      <c r="N160" s="21"/>
      <c r="O160" s="21"/>
      <c r="P160" s="21"/>
      <c r="Q160" s="21"/>
      <c r="R160" s="21"/>
      <c r="S160" s="21"/>
      <c r="T160" s="21"/>
      <c r="U160" s="21"/>
      <c r="V160" s="21"/>
    </row>
    <row r="161" spans="1:22" s="2" customFormat="1" ht="30" customHeight="1" x14ac:dyDescent="0.25">
      <c r="A161" s="565"/>
      <c r="B161" s="249" t="s">
        <v>251</v>
      </c>
      <c r="C161" s="236" t="s">
        <v>1883</v>
      </c>
      <c r="D161" s="434">
        <f t="shared" si="18"/>
        <v>128</v>
      </c>
      <c r="E161" s="427" t="s">
        <v>171</v>
      </c>
      <c r="F161" s="694" t="s">
        <v>285</v>
      </c>
      <c r="G161" s="924"/>
      <c r="H161" s="922"/>
      <c r="I161" s="923"/>
      <c r="J161" s="198" t="str">
        <f t="shared" si="17"/>
        <v/>
      </c>
      <c r="K161" s="31"/>
      <c r="L161" s="43"/>
      <c r="M161" s="847" t="s">
        <v>667</v>
      </c>
      <c r="N161" s="21"/>
      <c r="O161" s="21"/>
      <c r="P161" s="21"/>
      <c r="Q161" s="21"/>
      <c r="R161" s="21"/>
      <c r="S161" s="21"/>
      <c r="T161" s="21"/>
      <c r="U161" s="21"/>
      <c r="V161" s="21"/>
    </row>
    <row r="162" spans="1:22" s="2" customFormat="1" ht="30" customHeight="1" x14ac:dyDescent="0.25">
      <c r="A162" s="565"/>
      <c r="B162" s="249" t="s">
        <v>255</v>
      </c>
      <c r="C162" s="236" t="s">
        <v>1884</v>
      </c>
      <c r="D162" s="434">
        <f t="shared" si="18"/>
        <v>129</v>
      </c>
      <c r="E162" s="427" t="s">
        <v>171</v>
      </c>
      <c r="F162" s="694" t="s">
        <v>285</v>
      </c>
      <c r="G162" s="924"/>
      <c r="H162" s="922"/>
      <c r="I162" s="923"/>
      <c r="J162" s="198" t="str">
        <f t="shared" si="17"/>
        <v/>
      </c>
      <c r="K162" s="31"/>
      <c r="L162" s="43"/>
      <c r="M162" s="847" t="s">
        <v>667</v>
      </c>
      <c r="N162" s="21"/>
      <c r="O162" s="21"/>
      <c r="P162" s="21"/>
      <c r="Q162" s="21"/>
      <c r="R162" s="21"/>
      <c r="S162" s="21"/>
      <c r="T162" s="21"/>
      <c r="U162" s="21"/>
      <c r="V162" s="21"/>
    </row>
    <row r="163" spans="1:22" s="2" customFormat="1" ht="30" customHeight="1" x14ac:dyDescent="0.25">
      <c r="A163" s="565"/>
      <c r="B163" s="249" t="s">
        <v>252</v>
      </c>
      <c r="C163" s="236" t="s">
        <v>1885</v>
      </c>
      <c r="D163" s="434">
        <f t="shared" si="18"/>
        <v>130</v>
      </c>
      <c r="E163" s="427" t="s">
        <v>171</v>
      </c>
      <c r="F163" s="694" t="s">
        <v>263</v>
      </c>
      <c r="G163" s="924"/>
      <c r="H163" s="922" t="s">
        <v>2679</v>
      </c>
      <c r="I163" s="923"/>
      <c r="J163" s="198" t="str">
        <f t="shared" si="17"/>
        <v/>
      </c>
      <c r="K163" s="31"/>
      <c r="L163" s="43"/>
      <c r="M163" s="847" t="s">
        <v>667</v>
      </c>
      <c r="N163" s="21"/>
      <c r="O163" s="21"/>
      <c r="P163" s="21"/>
      <c r="Q163" s="21"/>
      <c r="R163" s="21"/>
      <c r="S163" s="21"/>
      <c r="T163" s="21"/>
      <c r="U163" s="21"/>
      <c r="V163" s="21"/>
    </row>
    <row r="164" spans="1:22" s="2" customFormat="1" ht="30" customHeight="1" x14ac:dyDescent="0.25">
      <c r="A164" s="568"/>
      <c r="B164" s="249" t="s">
        <v>253</v>
      </c>
      <c r="C164" s="236" t="s">
        <v>1886</v>
      </c>
      <c r="D164" s="434">
        <f t="shared" si="18"/>
        <v>131</v>
      </c>
      <c r="E164" s="427" t="s">
        <v>174</v>
      </c>
      <c r="F164" s="697" t="s">
        <v>240</v>
      </c>
      <c r="G164" s="924"/>
      <c r="H164" s="925" t="s">
        <v>819</v>
      </c>
      <c r="I164" s="923"/>
      <c r="J164" s="198" t="str">
        <f t="shared" si="17"/>
        <v/>
      </c>
      <c r="K164" s="31"/>
      <c r="L164" s="43"/>
      <c r="M164" s="847" t="s">
        <v>667</v>
      </c>
      <c r="N164" s="21"/>
      <c r="O164" s="21"/>
      <c r="P164" s="21"/>
      <c r="Q164" s="21"/>
      <c r="R164" s="21"/>
      <c r="S164" s="21"/>
      <c r="T164" s="21"/>
      <c r="U164" s="21"/>
      <c r="V164" s="21"/>
    </row>
    <row r="165" spans="1:22" s="2" customFormat="1" ht="30" customHeight="1" x14ac:dyDescent="0.25">
      <c r="A165" s="569" t="s">
        <v>1274</v>
      </c>
      <c r="B165" s="251" t="s">
        <v>248</v>
      </c>
      <c r="C165" s="252"/>
      <c r="D165" s="454"/>
      <c r="E165" s="203"/>
      <c r="F165" s="725"/>
      <c r="G165" s="938"/>
      <c r="H165" s="922" t="s">
        <v>563</v>
      </c>
      <c r="I165" s="938"/>
      <c r="J165" s="203"/>
      <c r="K165" s="683"/>
      <c r="L165" s="48"/>
      <c r="M165" s="21"/>
      <c r="N165" s="21"/>
      <c r="O165" s="21"/>
      <c r="P165" s="21"/>
      <c r="Q165" s="21"/>
      <c r="R165" s="21"/>
      <c r="S165" s="21"/>
      <c r="T165" s="21"/>
      <c r="U165" s="21"/>
      <c r="V165" s="21"/>
    </row>
    <row r="166" spans="1:22" s="2" customFormat="1" ht="30" customHeight="1" x14ac:dyDescent="0.25">
      <c r="A166" s="569" t="s">
        <v>1287</v>
      </c>
      <c r="B166" s="251" t="s">
        <v>249</v>
      </c>
      <c r="C166" s="252"/>
      <c r="D166" s="454"/>
      <c r="E166" s="429"/>
      <c r="F166" s="714"/>
      <c r="G166" s="924"/>
      <c r="H166" s="923" t="s">
        <v>167</v>
      </c>
      <c r="I166" s="923"/>
      <c r="J166" s="98"/>
      <c r="K166" s="31"/>
      <c r="L166" s="43"/>
      <c r="M166" s="21" t="s">
        <v>667</v>
      </c>
      <c r="N166" s="21"/>
      <c r="O166" s="21"/>
      <c r="P166" s="21"/>
      <c r="Q166" s="21"/>
      <c r="R166" s="21"/>
      <c r="S166" s="21"/>
      <c r="T166" s="21"/>
      <c r="U166" s="21"/>
      <c r="V166" s="21"/>
    </row>
    <row r="167" spans="1:22" s="2" customFormat="1" ht="30" customHeight="1" x14ac:dyDescent="0.25">
      <c r="A167" s="570" t="s">
        <v>67</v>
      </c>
      <c r="B167" s="253"/>
      <c r="C167" s="253"/>
      <c r="D167" s="454"/>
      <c r="E167" s="429"/>
      <c r="F167" s="714"/>
      <c r="G167" s="924"/>
      <c r="H167" s="922" t="s">
        <v>819</v>
      </c>
      <c r="I167" s="923"/>
      <c r="J167" s="98"/>
      <c r="K167" s="31"/>
      <c r="L167" s="43"/>
      <c r="M167" s="21" t="s">
        <v>667</v>
      </c>
      <c r="N167" s="21"/>
      <c r="O167" s="21"/>
      <c r="P167" s="21"/>
      <c r="Q167" s="21"/>
      <c r="R167" s="21"/>
      <c r="S167" s="21"/>
      <c r="T167" s="21"/>
      <c r="U167" s="21"/>
      <c r="V167" s="21"/>
    </row>
    <row r="168" spans="1:22" s="2" customFormat="1" ht="30" customHeight="1" x14ac:dyDescent="0.25">
      <c r="A168" s="571" t="s">
        <v>1288</v>
      </c>
      <c r="B168" s="254" t="s">
        <v>41</v>
      </c>
      <c r="C168" s="255" t="s">
        <v>1282</v>
      </c>
      <c r="D168" s="100">
        <f>D164+1</f>
        <v>132</v>
      </c>
      <c r="E168" s="455" t="s">
        <v>171</v>
      </c>
      <c r="F168" s="699">
        <v>0</v>
      </c>
      <c r="G168" s="924" t="s">
        <v>691</v>
      </c>
      <c r="H168" s="922" t="s">
        <v>2695</v>
      </c>
      <c r="I168" s="923"/>
      <c r="J168" s="200" t="str">
        <f>IF(LEN(F168)&gt;0,"","Belum Terisi")</f>
        <v/>
      </c>
      <c r="K168" s="31"/>
      <c r="L168" s="43"/>
      <c r="M168" s="21" t="s">
        <v>667</v>
      </c>
      <c r="N168" s="21" t="s">
        <v>668</v>
      </c>
      <c r="O168" s="21"/>
      <c r="P168" s="21"/>
      <c r="Q168" s="21"/>
      <c r="R168" s="21"/>
      <c r="S168" s="21"/>
      <c r="T168" s="21"/>
      <c r="U168" s="21"/>
      <c r="V168" s="21"/>
    </row>
    <row r="169" spans="1:22" s="2" customFormat="1" ht="30" customHeight="1" x14ac:dyDescent="0.25">
      <c r="A169" s="572"/>
      <c r="B169" s="254" t="s">
        <v>139</v>
      </c>
      <c r="C169" s="255" t="s">
        <v>1283</v>
      </c>
      <c r="D169" s="100">
        <f t="shared" ref="D169:D179" si="19">D168+1</f>
        <v>133</v>
      </c>
      <c r="E169" s="455" t="s">
        <v>171</v>
      </c>
      <c r="F169" s="699">
        <v>1</v>
      </c>
      <c r="G169" s="924" t="s">
        <v>691</v>
      </c>
      <c r="H169" s="922" t="s">
        <v>831</v>
      </c>
      <c r="I169" s="923"/>
      <c r="J169" s="198" t="str">
        <f>IF(LEN(F169)&gt;0,"","Belum Terisi")</f>
        <v/>
      </c>
      <c r="K169" s="31"/>
      <c r="L169" s="43"/>
      <c r="M169" s="21" t="s">
        <v>667</v>
      </c>
      <c r="N169" s="21" t="s">
        <v>668</v>
      </c>
      <c r="O169" s="21"/>
      <c r="P169" s="21"/>
      <c r="Q169" s="21"/>
      <c r="R169" s="21"/>
      <c r="S169" s="21"/>
      <c r="T169" s="21"/>
      <c r="U169" s="21"/>
      <c r="V169" s="21"/>
    </row>
    <row r="170" spans="1:22" s="2" customFormat="1" ht="40.15" customHeight="1" x14ac:dyDescent="0.25">
      <c r="A170" s="572"/>
      <c r="B170" s="254" t="s">
        <v>251</v>
      </c>
      <c r="C170" s="255" t="s">
        <v>1286</v>
      </c>
      <c r="D170" s="100">
        <f t="shared" si="19"/>
        <v>134</v>
      </c>
      <c r="E170" s="30" t="s">
        <v>261</v>
      </c>
      <c r="F170" s="726">
        <f>$F$168+$F$169</f>
        <v>1</v>
      </c>
      <c r="G170" s="927" t="s">
        <v>590</v>
      </c>
      <c r="H170" s="925" t="s">
        <v>2694</v>
      </c>
      <c r="I170" s="923"/>
      <c r="J170" s="198" t="str">
        <f>IF(LEN(F170)&gt;0,"","Belum Terisi")</f>
        <v/>
      </c>
      <c r="K170" s="31"/>
      <c r="L170" s="43"/>
      <c r="M170" s="21" t="s">
        <v>667</v>
      </c>
      <c r="N170" s="21"/>
      <c r="O170" s="21"/>
      <c r="P170" s="21"/>
      <c r="Q170" s="21"/>
      <c r="R170" s="21"/>
      <c r="S170" s="21"/>
      <c r="T170" s="21"/>
      <c r="U170" s="21"/>
      <c r="V170" s="21"/>
    </row>
    <row r="171" spans="1:22" s="2" customFormat="1" ht="30" customHeight="1" x14ac:dyDescent="0.25">
      <c r="A171" s="572"/>
      <c r="B171" s="254" t="s">
        <v>255</v>
      </c>
      <c r="C171" s="255" t="s">
        <v>2697</v>
      </c>
      <c r="D171" s="100">
        <f t="shared" si="19"/>
        <v>135</v>
      </c>
      <c r="E171" s="23" t="s">
        <v>261</v>
      </c>
      <c r="F171" s="727">
        <f>IF(F170=0,1,IF(F170=1,2,IF(F170=2,3,IF(OR(F170=3,F170=4),4,IF(F170&gt;=5,5,"Tidak Teridentifikasi")))))</f>
        <v>2</v>
      </c>
      <c r="G171" s="927" t="s">
        <v>590</v>
      </c>
      <c r="H171" s="922" t="s">
        <v>563</v>
      </c>
      <c r="I171" s="923"/>
      <c r="J171" s="198" t="str">
        <f>IF(LEN(F171)&gt;0,"","Belum Terisi")</f>
        <v/>
      </c>
      <c r="K171" s="31"/>
      <c r="L171" s="31"/>
      <c r="M171" s="21" t="s">
        <v>667</v>
      </c>
      <c r="N171" s="21"/>
      <c r="O171" s="21"/>
      <c r="P171" s="21"/>
      <c r="Q171" s="21"/>
      <c r="R171" s="21"/>
      <c r="S171" s="21"/>
      <c r="T171" s="21"/>
      <c r="U171" s="21"/>
      <c r="V171" s="21"/>
    </row>
    <row r="172" spans="1:22" s="2" customFormat="1" ht="30" customHeight="1" x14ac:dyDescent="0.25">
      <c r="A172" s="572"/>
      <c r="B172" s="254" t="s">
        <v>252</v>
      </c>
      <c r="C172" s="255" t="s">
        <v>2698</v>
      </c>
      <c r="D172" s="100">
        <f t="shared" si="19"/>
        <v>136</v>
      </c>
      <c r="E172" s="455" t="s">
        <v>171</v>
      </c>
      <c r="F172" s="886" t="s">
        <v>167</v>
      </c>
      <c r="G172" s="924"/>
      <c r="H172" s="922" t="s">
        <v>819</v>
      </c>
      <c r="I172" s="923"/>
      <c r="J172" s="200" t="str">
        <f>IF(F172="","Belum Terisi",IF(AND(F168&gt;0,F169=0,OR(F172="Swasta",F172="Tidak Ada",F172="Pemerintah dan Swasta")),"CEK",IF(AND(F168=0,F169&gt;0,OR(F172="Tidak Ada",F172="Pemerintah",F172="Pemerintah dan Swasta")),"CEK",IF(AND(F168&gt;0,F169&gt;0,OR(F172="Tidak Ada",F172="Swasta",F172="Pemerintah")),"CEK",IF(AND(F170=0,F172&lt;&gt;"Tidak ada"),"CEK","")))))</f>
        <v/>
      </c>
      <c r="K172" s="31" t="str">
        <f>IF(AND(J172="CEK",F168&gt;0,F169=0),"Hanya Terdapat Paud Pemerintah",IF(AND(J172="CEK",F168=0,F169&gt;0),"Hanya Terdapat Paud Non-Pemerintah",IF(AND(J172="CEK",F168&gt;0,F169&gt;0),"Terdapat Paud Pemerintah dan Non-Pemerintah",IF(AND(J172="CEK",F170=0),"Tidak Tersedia PAUD di Desa",""))))</f>
        <v/>
      </c>
      <c r="L172" s="43"/>
      <c r="M172" s="21" t="s">
        <v>667</v>
      </c>
      <c r="N172" s="21"/>
      <c r="O172" s="21"/>
      <c r="P172" s="21"/>
      <c r="Q172" s="21"/>
      <c r="R172" s="21"/>
      <c r="S172" s="21"/>
      <c r="T172" s="21"/>
      <c r="U172" s="21"/>
      <c r="V172" s="21"/>
    </row>
    <row r="173" spans="1:22" s="2" customFormat="1" ht="30" customHeight="1" x14ac:dyDescent="0.25">
      <c r="A173" s="572"/>
      <c r="B173" s="254" t="s">
        <v>253</v>
      </c>
      <c r="C173" s="255" t="s">
        <v>1284</v>
      </c>
      <c r="D173" s="100">
        <f t="shared" si="19"/>
        <v>137</v>
      </c>
      <c r="E173" s="455" t="s">
        <v>171</v>
      </c>
      <c r="F173" s="700">
        <v>1</v>
      </c>
      <c r="G173" s="927" t="s">
        <v>590</v>
      </c>
      <c r="H173" s="922" t="s">
        <v>543</v>
      </c>
      <c r="I173" s="923"/>
      <c r="J173" s="198" t="str">
        <f>IF(F173="","Belum Terisi",IF(OR(F173=1,F173=2,F173=3),"","CEK"))</f>
        <v/>
      </c>
      <c r="K173" s="31" t="str">
        <f t="shared" ref="K173:K175" si="20">IF(J173="CEK","Inputan Tidak Sesuai","")</f>
        <v/>
      </c>
      <c r="L173" s="43"/>
      <c r="M173" s="21" t="s">
        <v>667</v>
      </c>
      <c r="N173" s="21"/>
      <c r="O173" s="21"/>
      <c r="P173" s="21"/>
      <c r="Q173" s="21"/>
      <c r="R173" s="21"/>
      <c r="S173" s="21"/>
      <c r="T173" s="21"/>
      <c r="U173" s="21"/>
      <c r="V173" s="21"/>
    </row>
    <row r="174" spans="1:22" s="2" customFormat="1" ht="30" customHeight="1" x14ac:dyDescent="0.25">
      <c r="A174" s="572"/>
      <c r="B174" s="254" t="s">
        <v>254</v>
      </c>
      <c r="C174" s="255" t="s">
        <v>1285</v>
      </c>
      <c r="D174" s="100">
        <f t="shared" si="19"/>
        <v>138</v>
      </c>
      <c r="E174" s="455" t="s">
        <v>171</v>
      </c>
      <c r="F174" s="699">
        <v>1</v>
      </c>
      <c r="G174" s="927" t="s">
        <v>590</v>
      </c>
      <c r="H174" s="922" t="s">
        <v>196</v>
      </c>
      <c r="I174" s="923"/>
      <c r="J174" s="198" t="str">
        <f t="shared" ref="J174" si="21">IF(F174="","Belum Terisi",IF(OR(F174=1,F174=2,F174=3),"","CEK"))</f>
        <v/>
      </c>
      <c r="K174" s="31" t="str">
        <f t="shared" si="20"/>
        <v/>
      </c>
      <c r="L174" s="43"/>
      <c r="M174" s="21" t="s">
        <v>667</v>
      </c>
      <c r="N174" s="21"/>
      <c r="O174" s="21"/>
      <c r="P174" s="21"/>
      <c r="Q174" s="21"/>
      <c r="R174" s="21"/>
      <c r="S174" s="21"/>
      <c r="T174" s="21"/>
      <c r="U174" s="21"/>
      <c r="V174" s="21"/>
    </row>
    <row r="175" spans="1:22" s="2" customFormat="1" ht="30" customHeight="1" x14ac:dyDescent="0.25">
      <c r="A175" s="572"/>
      <c r="B175" s="254" t="s">
        <v>256</v>
      </c>
      <c r="C175" s="255" t="s">
        <v>2699</v>
      </c>
      <c r="D175" s="100">
        <f t="shared" si="19"/>
        <v>139</v>
      </c>
      <c r="E175" s="455" t="s">
        <v>171</v>
      </c>
      <c r="F175" s="728">
        <v>2</v>
      </c>
      <c r="G175" s="927" t="s">
        <v>590</v>
      </c>
      <c r="H175" s="922"/>
      <c r="I175" s="923"/>
      <c r="J175" s="198" t="str">
        <f>IF(F175="","Belum Terisi",IF(OR(F175=1,F175=2),"","CEK"))</f>
        <v/>
      </c>
      <c r="K175" s="31" t="str">
        <f t="shared" si="20"/>
        <v/>
      </c>
      <c r="L175" s="31"/>
      <c r="M175" s="21" t="s">
        <v>667</v>
      </c>
      <c r="N175" s="21"/>
      <c r="O175" s="21"/>
      <c r="P175" s="21"/>
      <c r="Q175" s="21"/>
      <c r="R175" s="21"/>
      <c r="S175" s="21"/>
      <c r="T175" s="21"/>
      <c r="U175" s="21"/>
      <c r="V175" s="21"/>
    </row>
    <row r="176" spans="1:22" s="2" customFormat="1" ht="30" customHeight="1" x14ac:dyDescent="0.25">
      <c r="A176" s="572"/>
      <c r="B176" s="254" t="s">
        <v>257</v>
      </c>
      <c r="C176" s="255" t="s">
        <v>2700</v>
      </c>
      <c r="D176" s="100">
        <f t="shared" si="19"/>
        <v>140</v>
      </c>
      <c r="E176" s="23" t="s">
        <v>261</v>
      </c>
      <c r="F176" s="727">
        <f>IF(AND(F173=1,F174=1,F175=1),5,
IF(AND(F173=1,F174=1,F175=2),5,
IF(AND(F173=1,F174=2,F175=1),5,
IF(AND(F173=1,F174=2,F175=2),4,
IF(AND(F173=1,F174=3,F175=1),5,
IF(AND(F173=1,F174=3,F175=2),3,
IF(AND(F173=2,F174=1,F175=1),4,
IF(AND(F173=2,F174=1,F175=2),4,
IF(AND(F173=2,F174=2,F175=1),3,
IF(AND(F173=2,F174=2,F175=2),2,
IF(AND(F173=2,F174=3,F175=1),3,
IF(AND(F173=2,F174=3,F175=2),2,
IF(AND(F173=3,F174=1,F175=1),4,
IF(AND(F173=3,F174=1,F175=2),2,
IF(AND(F173=3,F174=2,F175=1),2,
IF(AND(F173=3,F174=2,F175=2),1,
IF(AND(F173=3,F174=3,F175=1),1,
IF(AND(F173=3,F174=3,F175=2),1,"Tidak Teridentifikasi"))))))))))))))))))</f>
        <v>5</v>
      </c>
      <c r="G176" s="927" t="s">
        <v>590</v>
      </c>
      <c r="H176" s="922"/>
      <c r="I176" s="923"/>
      <c r="J176" s="198" t="str">
        <f>IF(F176="Tidak Teridentifikasi","CEK","")</f>
        <v/>
      </c>
      <c r="K176" s="31"/>
      <c r="L176" s="43"/>
      <c r="M176" s="21" t="s">
        <v>667</v>
      </c>
      <c r="N176" s="21"/>
      <c r="O176" s="21"/>
      <c r="P176" s="21"/>
      <c r="Q176" s="21"/>
      <c r="R176" s="21"/>
      <c r="S176" s="21"/>
      <c r="T176" s="21"/>
      <c r="U176" s="21"/>
      <c r="V176" s="21"/>
    </row>
    <row r="177" spans="1:22" s="2" customFormat="1" ht="49.9" customHeight="1" x14ac:dyDescent="0.25">
      <c r="A177" s="572"/>
      <c r="B177" s="254" t="s">
        <v>259</v>
      </c>
      <c r="C177" s="255" t="s">
        <v>2701</v>
      </c>
      <c r="D177" s="100">
        <f t="shared" si="19"/>
        <v>141</v>
      </c>
      <c r="E177" s="455" t="s">
        <v>174</v>
      </c>
      <c r="F177" s="728" t="s">
        <v>240</v>
      </c>
      <c r="G177" s="927"/>
      <c r="H177" s="922"/>
      <c r="I177" s="923"/>
      <c r="J177" s="198" t="str">
        <f>IF(LEN(F177)&gt;0,"","Belum Terisi")</f>
        <v/>
      </c>
      <c r="K177" s="31"/>
      <c r="L177" s="43"/>
      <c r="M177" s="21" t="s">
        <v>667</v>
      </c>
      <c r="N177" s="21"/>
      <c r="O177" s="21"/>
      <c r="P177" s="21"/>
      <c r="Q177" s="21"/>
      <c r="R177" s="21"/>
      <c r="S177" s="21"/>
      <c r="T177" s="21"/>
      <c r="U177" s="21"/>
      <c r="V177" s="21"/>
    </row>
    <row r="178" spans="1:22" s="2" customFormat="1" ht="30" customHeight="1" x14ac:dyDescent="0.25">
      <c r="A178" s="572"/>
      <c r="B178" s="254" t="s">
        <v>260</v>
      </c>
      <c r="C178" s="255" t="s">
        <v>2702</v>
      </c>
      <c r="D178" s="100">
        <f t="shared" si="19"/>
        <v>142</v>
      </c>
      <c r="E178" s="455" t="s">
        <v>258</v>
      </c>
      <c r="F178" s="731">
        <v>15</v>
      </c>
      <c r="G178" s="927" t="s">
        <v>590</v>
      </c>
      <c r="H178" s="922" t="s">
        <v>584</v>
      </c>
      <c r="I178" s="923"/>
      <c r="J178" s="198" t="str">
        <f>IF(LEN(F178)&gt;0,"","Belum Terisi")</f>
        <v/>
      </c>
      <c r="K178" s="31"/>
      <c r="L178" s="43"/>
      <c r="M178" s="21" t="s">
        <v>667</v>
      </c>
      <c r="N178" s="21"/>
      <c r="O178" s="21"/>
      <c r="P178" s="21"/>
      <c r="Q178" s="21"/>
      <c r="R178" s="21"/>
      <c r="S178" s="21"/>
      <c r="T178" s="21"/>
      <c r="U178" s="21"/>
      <c r="V178" s="21"/>
    </row>
    <row r="179" spans="1:22" s="2" customFormat="1" ht="30" customHeight="1" x14ac:dyDescent="0.25">
      <c r="A179" s="573"/>
      <c r="B179" s="254" t="s">
        <v>575</v>
      </c>
      <c r="C179" s="255" t="s">
        <v>2703</v>
      </c>
      <c r="D179" s="100">
        <f t="shared" si="19"/>
        <v>143</v>
      </c>
      <c r="E179" s="49">
        <f>IFERROR(IF(AND(F178=0,F127=0),0,F178/F127),"CEK penduduk Usia")</f>
        <v>0.10638297872340426</v>
      </c>
      <c r="F179" s="729">
        <f>IF(E179&lt;=20%,1,
IF(AND(E179&gt;20%,E179&lt;=40%),2,
IF(AND(E179&gt;40%,E179&lt;=60%),3,
IF(AND(E179&gt;60%,E179&lt;=80%),4,
IF(AND(E179&gt;80%,E179&lt;=100%),5,"Tidak Teridentifikasi")))))</f>
        <v>1</v>
      </c>
      <c r="G179" s="927" t="s">
        <v>590</v>
      </c>
      <c r="H179" s="922"/>
      <c r="I179" s="923"/>
      <c r="J179" s="198" t="str">
        <f>IF(LEN(F179)&gt;0,"","Belum Terisi")</f>
        <v/>
      </c>
      <c r="K179" s="31"/>
      <c r="L179" s="31"/>
      <c r="M179" s="21" t="s">
        <v>667</v>
      </c>
      <c r="N179" s="21"/>
      <c r="O179" s="21"/>
      <c r="P179" s="21"/>
      <c r="Q179" s="21"/>
      <c r="R179" s="21"/>
      <c r="S179" s="21"/>
      <c r="T179" s="21"/>
      <c r="U179" s="21"/>
      <c r="V179" s="21"/>
    </row>
    <row r="180" spans="1:22" s="2" customFormat="1" ht="30" customHeight="1" x14ac:dyDescent="0.25">
      <c r="A180" s="574" t="s">
        <v>585</v>
      </c>
      <c r="B180" s="256"/>
      <c r="C180" s="257"/>
      <c r="D180" s="454"/>
      <c r="E180" s="429"/>
      <c r="F180" s="714"/>
      <c r="G180" s="924"/>
      <c r="H180" s="922"/>
      <c r="I180" s="923"/>
      <c r="J180" s="98"/>
      <c r="K180" s="31"/>
      <c r="L180" s="31"/>
      <c r="M180" s="21" t="s">
        <v>667</v>
      </c>
      <c r="N180" s="21"/>
      <c r="O180" s="21"/>
      <c r="P180" s="21"/>
      <c r="Q180" s="21"/>
      <c r="R180" s="21"/>
      <c r="S180" s="21"/>
      <c r="T180" s="21"/>
      <c r="U180" s="21"/>
      <c r="V180" s="21"/>
    </row>
    <row r="181" spans="1:22" s="2" customFormat="1" ht="30" customHeight="1" x14ac:dyDescent="0.25">
      <c r="A181" s="575" t="str">
        <f>"B "&amp;(RIGHT(A168,3)+1)</f>
        <v>B 102</v>
      </c>
      <c r="B181" s="254" t="s">
        <v>41</v>
      </c>
      <c r="C181" s="255" t="s">
        <v>2704</v>
      </c>
      <c r="D181" s="100">
        <f>D179+1</f>
        <v>144</v>
      </c>
      <c r="E181" s="456" t="s">
        <v>171</v>
      </c>
      <c r="F181" s="699">
        <v>3</v>
      </c>
      <c r="G181" s="924" t="s">
        <v>691</v>
      </c>
      <c r="H181" s="922" t="s">
        <v>191</v>
      </c>
      <c r="I181" s="923"/>
      <c r="J181" s="198" t="str">
        <f>IF(LEN(F181)&gt;0,"","Belum Terisi")</f>
        <v/>
      </c>
      <c r="K181" s="31"/>
      <c r="L181" s="43"/>
      <c r="M181" s="21" t="s">
        <v>667</v>
      </c>
      <c r="N181" s="21" t="s">
        <v>668</v>
      </c>
      <c r="O181" s="21"/>
      <c r="P181" s="21"/>
      <c r="Q181" s="21"/>
      <c r="R181" s="21"/>
      <c r="S181" s="21"/>
      <c r="T181" s="21"/>
      <c r="U181" s="21"/>
      <c r="V181" s="21"/>
    </row>
    <row r="182" spans="1:22" s="2" customFormat="1" ht="30" customHeight="1" x14ac:dyDescent="0.25">
      <c r="A182" s="576"/>
      <c r="B182" s="254" t="s">
        <v>139</v>
      </c>
      <c r="C182" s="255" t="s">
        <v>2705</v>
      </c>
      <c r="D182" s="100">
        <f t="shared" ref="D182:D190" si="22">D181+1</f>
        <v>145</v>
      </c>
      <c r="E182" s="457" t="s">
        <v>261</v>
      </c>
      <c r="F182" s="727">
        <f>IF(F181=0,1,IF(F181=1,2,IF(F181=2,3,IF(F181=3,4,IF(F181&gt;=4,5,"Tidak Teridentifikasi")))))</f>
        <v>4</v>
      </c>
      <c r="G182" s="924" t="s">
        <v>692</v>
      </c>
      <c r="H182" s="922"/>
      <c r="I182" s="923"/>
      <c r="J182" s="198" t="str">
        <f>IF(LEN(F182)&gt;0,"","Belum Terisi")</f>
        <v/>
      </c>
      <c r="K182" s="31"/>
      <c r="L182" s="43"/>
      <c r="M182" s="21" t="s">
        <v>667</v>
      </c>
      <c r="N182" s="21"/>
      <c r="O182" s="21"/>
      <c r="P182" s="21"/>
      <c r="Q182" s="21"/>
      <c r="R182" s="21"/>
      <c r="S182" s="21"/>
      <c r="T182" s="21"/>
      <c r="U182" s="21"/>
      <c r="V182" s="21"/>
    </row>
    <row r="183" spans="1:22" s="2" customFormat="1" ht="30" customHeight="1" x14ac:dyDescent="0.25">
      <c r="A183" s="576"/>
      <c r="B183" s="254" t="s">
        <v>251</v>
      </c>
      <c r="C183" s="255" t="s">
        <v>2706</v>
      </c>
      <c r="D183" s="100">
        <f t="shared" si="22"/>
        <v>146</v>
      </c>
      <c r="E183" s="456" t="s">
        <v>171</v>
      </c>
      <c r="F183" s="728" t="s">
        <v>2679</v>
      </c>
      <c r="G183" s="924"/>
      <c r="H183" s="922"/>
      <c r="I183" s="923"/>
      <c r="J183" s="200" t="str">
        <f>IF(F183="","Belum Terisi",IF(AND(F181=0,F183&lt;&gt;"Tidak ada"),"CEK",IF(AND(F181&gt;0,F183="Tidak Ada"),"CEK","")))</f>
        <v/>
      </c>
      <c r="K183" s="31" t="str">
        <f>IF(AND(J183="CEK",F183="Tidak Ada",F181&gt;0),"Terdapat SD di Desa",IF(AND(J183="CEK",F183&lt;&gt;"Tidak Ada",F181=0),"Tidak Terdapat SD di Desa",""))</f>
        <v/>
      </c>
      <c r="L183" s="43"/>
      <c r="M183" s="21" t="s">
        <v>667</v>
      </c>
      <c r="N183" s="21"/>
      <c r="O183" s="21"/>
      <c r="P183" s="21"/>
      <c r="Q183" s="21"/>
      <c r="R183" s="21"/>
      <c r="S183" s="21"/>
      <c r="T183" s="21"/>
      <c r="U183" s="21"/>
      <c r="V183" s="21"/>
    </row>
    <row r="184" spans="1:22" s="2" customFormat="1" ht="30" customHeight="1" x14ac:dyDescent="0.25">
      <c r="A184" s="576"/>
      <c r="B184" s="254" t="s">
        <v>255</v>
      </c>
      <c r="C184" s="255" t="s">
        <v>2707</v>
      </c>
      <c r="D184" s="100">
        <f t="shared" si="22"/>
        <v>147</v>
      </c>
      <c r="E184" s="458" t="s">
        <v>171</v>
      </c>
      <c r="F184" s="730">
        <v>2</v>
      </c>
      <c r="G184" s="927" t="s">
        <v>591</v>
      </c>
      <c r="H184" s="922" t="s">
        <v>192</v>
      </c>
      <c r="I184" s="923"/>
      <c r="J184" s="198" t="str">
        <f t="shared" ref="J184:J185" si="23">IF(F184="","Belum Terisi",IF(OR(F184=1,F184=2,F184=3),"","CEK"))</f>
        <v/>
      </c>
      <c r="K184" s="31" t="str">
        <f t="shared" ref="K184:K186" si="24">IF(J184="CEK","Inputan Tidak Sesuai","")</f>
        <v/>
      </c>
      <c r="L184" s="43"/>
      <c r="M184" s="21" t="s">
        <v>667</v>
      </c>
      <c r="N184" s="847" t="s">
        <v>668</v>
      </c>
      <c r="O184" s="21"/>
      <c r="P184" s="21"/>
      <c r="Q184" s="21"/>
      <c r="R184" s="21"/>
      <c r="S184" s="21"/>
      <c r="T184" s="21"/>
      <c r="U184" s="21"/>
      <c r="V184" s="21"/>
    </row>
    <row r="185" spans="1:22" s="2" customFormat="1" ht="30" customHeight="1" x14ac:dyDescent="0.25">
      <c r="A185" s="576"/>
      <c r="B185" s="254" t="s">
        <v>252</v>
      </c>
      <c r="C185" s="255" t="s">
        <v>2708</v>
      </c>
      <c r="D185" s="100">
        <f t="shared" si="22"/>
        <v>148</v>
      </c>
      <c r="E185" s="459" t="s">
        <v>171</v>
      </c>
      <c r="F185" s="730">
        <v>3</v>
      </c>
      <c r="G185" s="927" t="s">
        <v>591</v>
      </c>
      <c r="H185" s="922" t="s">
        <v>193</v>
      </c>
      <c r="I185" s="923"/>
      <c r="J185" s="198" t="str">
        <f t="shared" si="23"/>
        <v/>
      </c>
      <c r="K185" s="31" t="str">
        <f t="shared" si="24"/>
        <v/>
      </c>
      <c r="L185" s="43"/>
      <c r="M185" s="21" t="s">
        <v>667</v>
      </c>
      <c r="N185" s="847" t="s">
        <v>668</v>
      </c>
      <c r="O185" s="21"/>
      <c r="P185" s="21"/>
      <c r="Q185" s="21"/>
      <c r="R185" s="21"/>
      <c r="S185" s="21"/>
      <c r="T185" s="21"/>
      <c r="U185" s="21"/>
      <c r="V185" s="21"/>
    </row>
    <row r="186" spans="1:22" s="2" customFormat="1" ht="30" customHeight="1" x14ac:dyDescent="0.25">
      <c r="A186" s="576"/>
      <c r="B186" s="254" t="s">
        <v>253</v>
      </c>
      <c r="C186" s="255" t="s">
        <v>2709</v>
      </c>
      <c r="D186" s="100">
        <f t="shared" si="22"/>
        <v>149</v>
      </c>
      <c r="E186" s="456" t="s">
        <v>171</v>
      </c>
      <c r="F186" s="728">
        <v>2</v>
      </c>
      <c r="G186" s="927" t="s">
        <v>591</v>
      </c>
      <c r="H186" s="922" t="s">
        <v>2679</v>
      </c>
      <c r="I186" s="923"/>
      <c r="J186" s="198" t="str">
        <f>IF(F186="","Belum Terisi",IF(OR(F186=1,F186=2),"","CEK"))</f>
        <v/>
      </c>
      <c r="K186" s="31" t="str">
        <f t="shared" si="24"/>
        <v/>
      </c>
      <c r="L186" s="43"/>
      <c r="M186" s="21" t="s">
        <v>667</v>
      </c>
      <c r="N186" s="21"/>
      <c r="O186" s="21"/>
      <c r="P186" s="21"/>
      <c r="Q186" s="21"/>
      <c r="R186" s="21"/>
      <c r="S186" s="21"/>
      <c r="T186" s="21"/>
      <c r="U186" s="21"/>
      <c r="V186" s="21"/>
    </row>
    <row r="187" spans="1:22" s="2" customFormat="1" ht="30" customHeight="1" x14ac:dyDescent="0.25">
      <c r="A187" s="576"/>
      <c r="B187" s="254" t="s">
        <v>254</v>
      </c>
      <c r="C187" s="255" t="s">
        <v>2710</v>
      </c>
      <c r="D187" s="100">
        <f t="shared" si="22"/>
        <v>150</v>
      </c>
      <c r="E187" s="457" t="s">
        <v>261</v>
      </c>
      <c r="F187" s="727">
        <f>IF(AND(F184=1,F185=1,F186=1),5,
IF(AND(F184=1,F185=1,F186=2),5,
IF(AND(F184=1,F185=2,F186=1),5,
IF(AND(F184=1,F185=2,F186=2),4,
IF(AND(F184=1,F185=3,F186=1),5,
IF(AND(F184=1,F185=3,F186=2),3,
IF(AND(F184=2,F185=1,F186=1),4,
IF(AND(F184=2,F185=1,F186=2),4,
IF(AND(F184=2,F185=2,F186=1),3,
IF(AND(F184=2,F185=2,F186=2),2,
IF(AND(F184=2,F185=3,F186=1),3,
IF(AND(F184=2,F185=3,F186=2),2,
IF(AND(F184=3,F185=1,F186=1),4,
IF(AND(F184=3,F185=1,F186=2),2,
IF(AND(F184=3,F185=2,F186=1),2,
IF(AND(F184=3,F185=2,F186=2),1,
IF(AND(F184=3,F185=3,F186=1),1,
IF(AND(F184=3,F185=3,F186=2),1,"Tidak Teridentifikasi"))))))))))))))))))</f>
        <v>2</v>
      </c>
      <c r="G187" s="927" t="s">
        <v>591</v>
      </c>
      <c r="H187" s="923" t="s">
        <v>2694</v>
      </c>
      <c r="I187" s="925"/>
      <c r="J187" s="198" t="str">
        <f>IF(F187="Tidak Teridentifikasi","CEK","")</f>
        <v/>
      </c>
      <c r="K187" s="31"/>
      <c r="L187" s="31"/>
      <c r="M187" s="21" t="s">
        <v>667</v>
      </c>
      <c r="N187" s="21"/>
      <c r="O187" s="21"/>
      <c r="P187" s="21"/>
      <c r="Q187" s="21"/>
      <c r="R187" s="21"/>
      <c r="S187" s="21"/>
      <c r="T187" s="21"/>
      <c r="U187" s="21"/>
      <c r="V187" s="21"/>
    </row>
    <row r="188" spans="1:22" s="2" customFormat="1" ht="49.9" customHeight="1" x14ac:dyDescent="0.25">
      <c r="A188" s="576"/>
      <c r="B188" s="254" t="s">
        <v>256</v>
      </c>
      <c r="C188" s="255" t="s">
        <v>2711</v>
      </c>
      <c r="D188" s="100">
        <f t="shared" si="22"/>
        <v>151</v>
      </c>
      <c r="E188" s="456" t="s">
        <v>174</v>
      </c>
      <c r="F188" s="728" t="s">
        <v>240</v>
      </c>
      <c r="G188" s="924"/>
      <c r="H188" s="922" t="s">
        <v>2695</v>
      </c>
      <c r="I188" s="923"/>
      <c r="J188" s="198" t="str">
        <f>IF(LEN(F188)&gt;0,"","Belum Terisi")</f>
        <v/>
      </c>
      <c r="K188" s="31"/>
      <c r="L188" s="43"/>
      <c r="M188" s="21" t="s">
        <v>667</v>
      </c>
      <c r="N188" s="21"/>
      <c r="O188" s="21"/>
      <c r="P188" s="21"/>
      <c r="Q188" s="21"/>
      <c r="R188" s="21"/>
      <c r="S188" s="21"/>
      <c r="T188" s="21"/>
      <c r="U188" s="21"/>
      <c r="V188" s="21"/>
    </row>
    <row r="189" spans="1:22" s="2" customFormat="1" ht="30" customHeight="1" x14ac:dyDescent="0.25">
      <c r="A189" s="576"/>
      <c r="B189" s="258" t="s">
        <v>257</v>
      </c>
      <c r="C189" s="255" t="s">
        <v>2712</v>
      </c>
      <c r="D189" s="100">
        <f t="shared" si="22"/>
        <v>152</v>
      </c>
      <c r="E189" s="456" t="s">
        <v>258</v>
      </c>
      <c r="F189" s="731">
        <v>255</v>
      </c>
      <c r="G189" s="927" t="s">
        <v>591</v>
      </c>
      <c r="H189" s="922" t="s">
        <v>563</v>
      </c>
      <c r="I189" s="923"/>
      <c r="J189" s="198" t="str">
        <f>IF(LEN(F189)&gt;0,"","Belum Terisi")</f>
        <v/>
      </c>
      <c r="K189" s="31"/>
      <c r="L189" s="43"/>
      <c r="M189" s="21" t="s">
        <v>667</v>
      </c>
      <c r="N189" s="21"/>
      <c r="O189" s="21"/>
      <c r="P189" s="21"/>
      <c r="Q189" s="21"/>
      <c r="R189" s="21"/>
      <c r="S189" s="21"/>
      <c r="T189" s="21"/>
      <c r="U189" s="21"/>
      <c r="V189" s="21"/>
    </row>
    <row r="190" spans="1:22" s="2" customFormat="1" ht="30" customHeight="1" x14ac:dyDescent="0.25">
      <c r="A190" s="576"/>
      <c r="B190" s="258" t="s">
        <v>259</v>
      </c>
      <c r="C190" s="255" t="s">
        <v>2713</v>
      </c>
      <c r="D190" s="100">
        <f t="shared" si="22"/>
        <v>153</v>
      </c>
      <c r="E190" s="50">
        <f>IFERROR(IF(AND(F189=0,F128=0),0,F189/F128),"CEK Penduduk Usia")</f>
        <v>0.63591022443890277</v>
      </c>
      <c r="F190" s="727">
        <f>IF(E190&lt;=20%,1,
IF(AND(E190&gt;20%,E190&lt;=40%),2,
IF(AND(E190&gt;40%,E190&lt;=60%),3,
IF(AND(E190&gt;60%,E190&lt;=80%),4,
IF(AND(E190&gt;80%,E190&lt;=100%),5,"Tidak Teridentifikasi")))))</f>
        <v>4</v>
      </c>
      <c r="G190" s="927" t="s">
        <v>591</v>
      </c>
      <c r="H190" s="923" t="s">
        <v>167</v>
      </c>
      <c r="I190" s="923"/>
      <c r="J190" s="198" t="str">
        <f>IF(LEN(F190)&gt;0,"","Belum Terisi")</f>
        <v/>
      </c>
      <c r="K190" s="31"/>
      <c r="L190" s="43"/>
      <c r="M190" s="21" t="s">
        <v>667</v>
      </c>
      <c r="N190" s="21"/>
      <c r="O190" s="21"/>
      <c r="P190" s="21"/>
      <c r="Q190" s="21"/>
      <c r="R190" s="21"/>
      <c r="S190" s="21"/>
      <c r="T190" s="21"/>
      <c r="U190" s="21"/>
      <c r="V190" s="21"/>
    </row>
    <row r="191" spans="1:22" s="2" customFormat="1" ht="30" customHeight="1" x14ac:dyDescent="0.25">
      <c r="A191" s="574" t="s">
        <v>586</v>
      </c>
      <c r="B191" s="259"/>
      <c r="C191" s="257"/>
      <c r="D191" s="460"/>
      <c r="E191" s="429"/>
      <c r="F191" s="732"/>
      <c r="G191" s="924"/>
      <c r="H191" s="922" t="s">
        <v>819</v>
      </c>
      <c r="I191" s="925"/>
      <c r="J191" s="198"/>
      <c r="K191" s="31"/>
      <c r="L191" s="43"/>
      <c r="M191" s="21" t="s">
        <v>667</v>
      </c>
      <c r="N191" s="21"/>
      <c r="O191" s="21"/>
      <c r="P191" s="21"/>
      <c r="Q191" s="21"/>
      <c r="R191" s="21"/>
      <c r="S191" s="21"/>
      <c r="T191" s="21"/>
      <c r="U191" s="21"/>
      <c r="V191" s="21"/>
    </row>
    <row r="192" spans="1:22" s="2" customFormat="1" ht="30" customHeight="1" x14ac:dyDescent="0.25">
      <c r="A192" s="575" t="str">
        <f>"B "&amp;(RIGHT(A181,3)+1)</f>
        <v>B 103</v>
      </c>
      <c r="B192" s="254" t="s">
        <v>41</v>
      </c>
      <c r="C192" s="255" t="s">
        <v>2714</v>
      </c>
      <c r="D192" s="100">
        <f>D190+1</f>
        <v>154</v>
      </c>
      <c r="E192" s="455" t="s">
        <v>171</v>
      </c>
      <c r="F192" s="699">
        <v>1</v>
      </c>
      <c r="G192" s="924" t="s">
        <v>691</v>
      </c>
      <c r="H192" s="922" t="s">
        <v>191</v>
      </c>
      <c r="I192" s="923"/>
      <c r="J192" s="198" t="str">
        <f>IF(LEN(F192)&gt;0,"","Belum Terisi")</f>
        <v/>
      </c>
      <c r="K192" s="31"/>
      <c r="L192" s="43"/>
      <c r="M192" s="21" t="s">
        <v>667</v>
      </c>
      <c r="N192" s="21" t="s">
        <v>668</v>
      </c>
      <c r="O192" s="21"/>
      <c r="P192" s="21"/>
      <c r="Q192" s="21"/>
      <c r="R192" s="21"/>
      <c r="S192" s="21"/>
      <c r="T192" s="21"/>
      <c r="U192" s="21"/>
      <c r="V192" s="21"/>
    </row>
    <row r="193" spans="1:22" s="2" customFormat="1" ht="30" customHeight="1" x14ac:dyDescent="0.25">
      <c r="A193" s="576"/>
      <c r="B193" s="254" t="s">
        <v>139</v>
      </c>
      <c r="C193" s="255" t="s">
        <v>2715</v>
      </c>
      <c r="D193" s="100">
        <f t="shared" ref="D193:D201" si="25">D192+1</f>
        <v>155</v>
      </c>
      <c r="E193" s="23" t="s">
        <v>261</v>
      </c>
      <c r="F193" s="733">
        <f>IF(OR(F192="",F192=0),1,IF(F192&gt;=1,5,"Tidak Teridentifikasi"))</f>
        <v>5</v>
      </c>
      <c r="G193" s="924"/>
      <c r="H193" s="922"/>
      <c r="I193" s="923"/>
      <c r="J193" s="198" t="str">
        <f>IF(LEN(F193)&gt;0,"","Belum Terisi")</f>
        <v/>
      </c>
      <c r="K193" s="31"/>
      <c r="L193" s="43"/>
      <c r="M193" s="21" t="s">
        <v>667</v>
      </c>
      <c r="N193" s="21"/>
      <c r="O193" s="21"/>
      <c r="P193" s="21"/>
      <c r="Q193" s="21"/>
      <c r="R193" s="21"/>
      <c r="S193" s="21"/>
      <c r="T193" s="21"/>
      <c r="U193" s="21"/>
      <c r="V193" s="21"/>
    </row>
    <row r="194" spans="1:22" s="2" customFormat="1" ht="30" customHeight="1" x14ac:dyDescent="0.25">
      <c r="A194" s="576"/>
      <c r="B194" s="254" t="s">
        <v>251</v>
      </c>
      <c r="C194" s="255" t="s">
        <v>2716</v>
      </c>
      <c r="D194" s="100">
        <f t="shared" si="25"/>
        <v>156</v>
      </c>
      <c r="E194" s="455" t="s">
        <v>171</v>
      </c>
      <c r="F194" s="728" t="s">
        <v>2695</v>
      </c>
      <c r="G194" s="924"/>
      <c r="H194" s="922"/>
      <c r="I194" s="923"/>
      <c r="J194" s="200" t="str">
        <f>IF(F194="","Belum Terisi",IF(AND(F192=0,F194&lt;&gt;"Tidak ada"),"CEK",IF(AND(F192&gt;0,F194="Tidak Ada"),"CEK","")))</f>
        <v/>
      </c>
      <c r="K194" s="31" t="str">
        <f>IF(AND(J194="CEK",F194="Tidak Ada",F192&gt;0),"Terdapat SMP di Desa",IF(AND(J194="CEK",F194&lt;&gt;"Tidak Ada",F192=0),"Tidak Terdapat SMP di Desa",""))</f>
        <v/>
      </c>
      <c r="L194" s="31"/>
      <c r="M194" s="21" t="s">
        <v>667</v>
      </c>
      <c r="N194" s="21"/>
      <c r="O194" s="21"/>
      <c r="P194" s="21"/>
      <c r="Q194" s="21"/>
      <c r="R194" s="21"/>
      <c r="S194" s="21"/>
      <c r="T194" s="21"/>
      <c r="U194" s="21"/>
      <c r="V194" s="21"/>
    </row>
    <row r="195" spans="1:22" s="2" customFormat="1" ht="30" customHeight="1" x14ac:dyDescent="0.25">
      <c r="A195" s="576"/>
      <c r="B195" s="254" t="s">
        <v>255</v>
      </c>
      <c r="C195" s="255" t="s">
        <v>2717</v>
      </c>
      <c r="D195" s="100">
        <f t="shared" si="25"/>
        <v>157</v>
      </c>
      <c r="E195" s="461" t="s">
        <v>171</v>
      </c>
      <c r="F195" s="730">
        <v>3</v>
      </c>
      <c r="G195" s="927" t="s">
        <v>592</v>
      </c>
      <c r="H195" s="922" t="s">
        <v>192</v>
      </c>
      <c r="I195" s="923"/>
      <c r="J195" s="198" t="str">
        <f t="shared" ref="J195:J196" si="26">IF(F195="","Belum Terisi",IF(OR(F195=1,F195=2,F195=3),"","CEK"))</f>
        <v/>
      </c>
      <c r="K195" s="31" t="str">
        <f t="shared" ref="K195:K197" si="27">IF(J195="CEK","Inputan Tidak Sesuai","")</f>
        <v/>
      </c>
      <c r="L195" s="43"/>
      <c r="M195" s="21" t="s">
        <v>667</v>
      </c>
      <c r="N195" s="847" t="s">
        <v>668</v>
      </c>
      <c r="O195" s="21"/>
      <c r="P195" s="21"/>
      <c r="Q195" s="21"/>
      <c r="R195" s="21"/>
      <c r="S195" s="21"/>
      <c r="T195" s="21"/>
      <c r="U195" s="21"/>
      <c r="V195" s="21"/>
    </row>
    <row r="196" spans="1:22" s="2" customFormat="1" ht="30" customHeight="1" x14ac:dyDescent="0.25">
      <c r="A196" s="576"/>
      <c r="B196" s="254" t="s">
        <v>252</v>
      </c>
      <c r="C196" s="255" t="s">
        <v>2718</v>
      </c>
      <c r="D196" s="100">
        <f t="shared" si="25"/>
        <v>158</v>
      </c>
      <c r="E196" s="461" t="s">
        <v>171</v>
      </c>
      <c r="F196" s="730">
        <v>3</v>
      </c>
      <c r="G196" s="927" t="s">
        <v>592</v>
      </c>
      <c r="H196" s="922" t="s">
        <v>194</v>
      </c>
      <c r="I196" s="923"/>
      <c r="J196" s="198" t="str">
        <f t="shared" si="26"/>
        <v/>
      </c>
      <c r="K196" s="31" t="str">
        <f t="shared" si="27"/>
        <v/>
      </c>
      <c r="L196" s="43"/>
      <c r="M196" s="21" t="s">
        <v>667</v>
      </c>
      <c r="N196" s="847" t="s">
        <v>668</v>
      </c>
      <c r="O196" s="21"/>
      <c r="P196" s="21"/>
      <c r="Q196" s="21"/>
      <c r="R196" s="21"/>
      <c r="S196" s="21"/>
      <c r="T196" s="21"/>
      <c r="U196" s="21"/>
      <c r="V196" s="21"/>
    </row>
    <row r="197" spans="1:22" s="2" customFormat="1" ht="30" customHeight="1" x14ac:dyDescent="0.25">
      <c r="A197" s="576"/>
      <c r="B197" s="254" t="s">
        <v>253</v>
      </c>
      <c r="C197" s="255" t="s">
        <v>2719</v>
      </c>
      <c r="D197" s="100">
        <f t="shared" si="25"/>
        <v>159</v>
      </c>
      <c r="E197" s="455" t="s">
        <v>171</v>
      </c>
      <c r="F197" s="728">
        <v>2</v>
      </c>
      <c r="G197" s="927" t="s">
        <v>592</v>
      </c>
      <c r="H197" s="922"/>
      <c r="I197" s="923"/>
      <c r="J197" s="198" t="str">
        <f>IF(F197="","Belum Terisi",IF(OR(F197=1,F197=2),"","CEK"))</f>
        <v/>
      </c>
      <c r="K197" s="31" t="str">
        <f t="shared" si="27"/>
        <v/>
      </c>
      <c r="L197" s="31"/>
      <c r="M197" s="21" t="s">
        <v>667</v>
      </c>
      <c r="N197" s="21"/>
      <c r="O197" s="21"/>
      <c r="P197" s="21"/>
      <c r="Q197" s="21"/>
      <c r="R197" s="21"/>
      <c r="S197" s="21"/>
      <c r="T197" s="21"/>
      <c r="U197" s="21"/>
      <c r="V197" s="21"/>
    </row>
    <row r="198" spans="1:22" s="2" customFormat="1" ht="30" customHeight="1" x14ac:dyDescent="0.25">
      <c r="A198" s="576"/>
      <c r="B198" s="254" t="s">
        <v>254</v>
      </c>
      <c r="C198" s="255" t="s">
        <v>2720</v>
      </c>
      <c r="D198" s="100">
        <f t="shared" si="25"/>
        <v>160</v>
      </c>
      <c r="E198" s="23" t="s">
        <v>261</v>
      </c>
      <c r="F198" s="727">
        <f>IF(AND(F195=1,F196=1,F197=1),5,
IF(AND(F195=1,F196=1,F197=2),5,
IF(AND(F195=1,F196=2,F197=1),5,
IF(AND(F195=1,F196=2,F197=2),4,
IF(AND(F195=1,F196=3,F197=1),5,
IF(AND(F195=1,F196=3,F197=2),3,
IF(AND(F195=2,F196=1,F197=1),4,
IF(AND(F195=2,F196=1,F197=2),4,
IF(AND(F195=2,F196=2,F197=1),3,
IF(AND(F195=2,F196=2,F197=2),2,
IF(AND(F195=2,F196=3,F197=1),3,
IF(AND(F195=2,F196=3,F197=2),2,
IF(AND(F195=3,F196=1,F197=1),4,
IF(AND(F195=3,F196=1,F197=2),2,
IF(AND(F195=3,F196=2,F197=1),2,
IF(AND(F195=3,F196=2,F197=2),1,
IF(AND(F195=3,F196=3,F197=1),1,
IF(AND(F195=3,F196=3,F197=2),1,"Tidak Teridentifikasi"))))))))))))))))))</f>
        <v>1</v>
      </c>
      <c r="G198" s="927" t="s">
        <v>592</v>
      </c>
      <c r="H198" s="922"/>
      <c r="I198" s="923"/>
      <c r="J198" s="198" t="str">
        <f>IF(F198="Tidak Teridentifikasi","CEK","")</f>
        <v/>
      </c>
      <c r="K198" s="31"/>
      <c r="L198" s="43"/>
      <c r="M198" s="21" t="s">
        <v>667</v>
      </c>
      <c r="N198" s="21"/>
      <c r="O198" s="21"/>
      <c r="P198" s="21"/>
      <c r="Q198" s="21"/>
      <c r="R198" s="21"/>
      <c r="S198" s="21"/>
      <c r="T198" s="21"/>
      <c r="U198" s="21"/>
      <c r="V198" s="21"/>
    </row>
    <row r="199" spans="1:22" s="2" customFormat="1" ht="49.9" customHeight="1" x14ac:dyDescent="0.25">
      <c r="A199" s="576"/>
      <c r="B199" s="254" t="s">
        <v>256</v>
      </c>
      <c r="C199" s="255" t="s">
        <v>2721</v>
      </c>
      <c r="D199" s="100">
        <f t="shared" si="25"/>
        <v>161</v>
      </c>
      <c r="E199" s="455" t="s">
        <v>174</v>
      </c>
      <c r="F199" s="728" t="s">
        <v>240</v>
      </c>
      <c r="G199" s="927"/>
      <c r="H199" s="922"/>
      <c r="I199" s="923"/>
      <c r="J199" s="198" t="str">
        <f>IF(LEN(F199)&gt;0,"","Belum Terisi")</f>
        <v/>
      </c>
      <c r="K199" s="31"/>
      <c r="L199" s="43"/>
      <c r="M199" s="21" t="s">
        <v>667</v>
      </c>
      <c r="N199" s="21"/>
      <c r="O199" s="21"/>
      <c r="P199" s="21"/>
      <c r="Q199" s="21"/>
      <c r="R199" s="21"/>
      <c r="S199" s="21"/>
      <c r="T199" s="21"/>
      <c r="U199" s="21"/>
      <c r="V199" s="21"/>
    </row>
    <row r="200" spans="1:22" s="2" customFormat="1" ht="30" customHeight="1" x14ac:dyDescent="0.25">
      <c r="A200" s="576"/>
      <c r="B200" s="258" t="s">
        <v>257</v>
      </c>
      <c r="C200" s="255" t="s">
        <v>2722</v>
      </c>
      <c r="D200" s="100">
        <f t="shared" si="25"/>
        <v>162</v>
      </c>
      <c r="E200" s="455" t="s">
        <v>258</v>
      </c>
      <c r="F200" s="731">
        <v>60</v>
      </c>
      <c r="G200" s="927" t="s">
        <v>592</v>
      </c>
      <c r="H200" s="922"/>
      <c r="I200" s="923"/>
      <c r="J200" s="198" t="str">
        <f>IF(LEN(F200)&gt;0,"","Belum Terisi")</f>
        <v/>
      </c>
      <c r="K200" s="31"/>
      <c r="L200" s="43"/>
      <c r="M200" s="21" t="s">
        <v>667</v>
      </c>
      <c r="N200" s="21"/>
      <c r="O200" s="21"/>
      <c r="P200" s="21"/>
      <c r="Q200" s="21"/>
      <c r="R200" s="21"/>
      <c r="S200" s="21"/>
      <c r="T200" s="21"/>
      <c r="U200" s="21"/>
      <c r="V200" s="21"/>
    </row>
    <row r="201" spans="1:22" s="2" customFormat="1" ht="30" customHeight="1" x14ac:dyDescent="0.25">
      <c r="A201" s="576"/>
      <c r="B201" s="258" t="s">
        <v>259</v>
      </c>
      <c r="C201" s="255" t="s">
        <v>2723</v>
      </c>
      <c r="D201" s="100">
        <f t="shared" si="25"/>
        <v>163</v>
      </c>
      <c r="E201" s="49">
        <f>IFERROR(IF(AND(F200=0,F129=0),0,F200/F129),"CEK {enduduk Usia")</f>
        <v>6.0544904137235116E-2</v>
      </c>
      <c r="F201" s="727">
        <f>IF(E201&lt;=20%,1,
IF(AND(E201&gt;20%,E201&lt;=40%),2,
IF(AND(E201&gt;40%,E201&lt;=60%),3,
IF(AND(E201&gt;60%,E201&lt;=80%),4,
IF(AND(E201&gt;80%,E201&lt;=100%),5,"Tidak Teridentifikasi")))))</f>
        <v>1</v>
      </c>
      <c r="G201" s="927" t="s">
        <v>592</v>
      </c>
      <c r="H201" s="922"/>
      <c r="I201" s="923"/>
      <c r="J201" s="198" t="str">
        <f>IF(LEN(F201)&gt;0,"","Belum Terisi")</f>
        <v/>
      </c>
      <c r="K201" s="31"/>
      <c r="L201" s="31"/>
      <c r="M201" s="21" t="s">
        <v>667</v>
      </c>
      <c r="N201" s="21"/>
      <c r="O201" s="21"/>
      <c r="P201" s="21"/>
      <c r="Q201" s="21"/>
      <c r="R201" s="21"/>
      <c r="S201" s="21"/>
      <c r="T201" s="21"/>
      <c r="U201" s="21"/>
      <c r="V201" s="21"/>
    </row>
    <row r="202" spans="1:22" s="2" customFormat="1" ht="30" customHeight="1" x14ac:dyDescent="0.25">
      <c r="A202" s="574" t="s">
        <v>634</v>
      </c>
      <c r="B202" s="259"/>
      <c r="C202" s="257"/>
      <c r="D202" s="462"/>
      <c r="E202" s="429"/>
      <c r="F202" s="732"/>
      <c r="G202" s="924"/>
      <c r="H202" s="922"/>
      <c r="I202" s="923"/>
      <c r="J202" s="198"/>
      <c r="K202" s="31"/>
      <c r="L202" s="43"/>
      <c r="M202" s="21" t="s">
        <v>667</v>
      </c>
      <c r="N202" s="21"/>
      <c r="O202" s="21"/>
      <c r="P202" s="21"/>
      <c r="Q202" s="21"/>
      <c r="R202" s="21"/>
      <c r="S202" s="21"/>
      <c r="T202" s="21"/>
      <c r="U202" s="21"/>
      <c r="V202" s="21"/>
    </row>
    <row r="203" spans="1:22" s="2" customFormat="1" ht="30" customHeight="1" x14ac:dyDescent="0.25">
      <c r="A203" s="575" t="str">
        <f>"B "&amp;(RIGHT(A192,3)+1)</f>
        <v>B 104</v>
      </c>
      <c r="B203" s="254" t="s">
        <v>41</v>
      </c>
      <c r="C203" s="255" t="s">
        <v>1289</v>
      </c>
      <c r="D203" s="100">
        <f>D201+1</f>
        <v>164</v>
      </c>
      <c r="E203" s="463" t="s">
        <v>171</v>
      </c>
      <c r="F203" s="700">
        <v>0</v>
      </c>
      <c r="G203" s="924" t="s">
        <v>691</v>
      </c>
      <c r="H203" s="922" t="s">
        <v>191</v>
      </c>
      <c r="I203" s="923"/>
      <c r="J203" s="198" t="str">
        <f>IF(LEN(F203)&gt;0,"","Belum Terisi")</f>
        <v/>
      </c>
      <c r="K203" s="31"/>
      <c r="L203" s="43"/>
      <c r="M203" s="21" t="s">
        <v>667</v>
      </c>
      <c r="N203" s="21" t="s">
        <v>668</v>
      </c>
      <c r="O203" s="21"/>
      <c r="P203" s="21"/>
      <c r="Q203" s="21"/>
      <c r="R203" s="21"/>
      <c r="S203" s="21"/>
      <c r="T203" s="21"/>
      <c r="U203" s="21"/>
      <c r="V203" s="21"/>
    </row>
    <row r="204" spans="1:22" s="2" customFormat="1" ht="30" customHeight="1" x14ac:dyDescent="0.25">
      <c r="A204" s="577"/>
      <c r="B204" s="254" t="s">
        <v>139</v>
      </c>
      <c r="C204" s="255" t="s">
        <v>2724</v>
      </c>
      <c r="D204" s="100">
        <f t="shared" ref="D204:D212" si="28">D203+1</f>
        <v>165</v>
      </c>
      <c r="E204" s="23" t="s">
        <v>261</v>
      </c>
      <c r="F204" s="727">
        <f>IF(OR(F203="",F203=0),1,IF(AND(F203&gt;0,F203&lt;=5),5,"Tidak Teridentifikasi"))</f>
        <v>1</v>
      </c>
      <c r="G204" s="924"/>
      <c r="H204" s="922"/>
      <c r="I204" s="923"/>
      <c r="J204" s="198" t="str">
        <f>IF(LEN(F204)&gt;0,"","Belum Terisi")</f>
        <v/>
      </c>
      <c r="K204" s="31"/>
      <c r="L204" s="43"/>
      <c r="M204" s="21" t="s">
        <v>667</v>
      </c>
      <c r="N204" s="21"/>
      <c r="O204" s="21"/>
      <c r="P204" s="21"/>
      <c r="Q204" s="21"/>
      <c r="R204" s="21"/>
      <c r="S204" s="21"/>
      <c r="T204" s="21"/>
      <c r="U204" s="21"/>
      <c r="V204" s="21"/>
    </row>
    <row r="205" spans="1:22" s="2" customFormat="1" ht="30" customHeight="1" x14ac:dyDescent="0.25">
      <c r="A205" s="577"/>
      <c r="B205" s="254" t="s">
        <v>251</v>
      </c>
      <c r="C205" s="255" t="s">
        <v>262</v>
      </c>
      <c r="D205" s="100">
        <f t="shared" si="28"/>
        <v>166</v>
      </c>
      <c r="E205" s="463" t="s">
        <v>171</v>
      </c>
      <c r="F205" s="728" t="s">
        <v>263</v>
      </c>
      <c r="G205" s="924"/>
      <c r="H205" s="922"/>
      <c r="I205" s="923"/>
      <c r="J205" s="200" t="str">
        <f>IF(F205="","Belum Terisi",IF(AND(F203=0,F205&lt;&gt;"Tidak ada"),"CEK",IF(AND(F203&gt;0,F205="Tidak Ada"),"CEK","")))</f>
        <v/>
      </c>
      <c r="K205" s="31" t="str">
        <f>IF(AND(J205="CEK",F205="Tidak Ada",F203&gt;0),"Terdapat SMA/SMK di Desa",IF(AND(J205="CEK",F205&lt;&gt;"Tidak Ada",F203=0),"Tidak Terdapat SMA/SMK di Desa",""))</f>
        <v/>
      </c>
      <c r="L205" s="31"/>
      <c r="M205" s="21" t="s">
        <v>667</v>
      </c>
      <c r="N205" s="21"/>
      <c r="O205" s="21"/>
      <c r="P205" s="21"/>
      <c r="Q205" s="21"/>
      <c r="R205" s="21"/>
      <c r="S205" s="21"/>
      <c r="T205" s="21"/>
      <c r="U205" s="21"/>
      <c r="V205" s="21"/>
    </row>
    <row r="206" spans="1:22" s="2" customFormat="1" ht="30" customHeight="1" x14ac:dyDescent="0.25">
      <c r="A206" s="577"/>
      <c r="B206" s="254" t="s">
        <v>255</v>
      </c>
      <c r="C206" s="255" t="s">
        <v>1290</v>
      </c>
      <c r="D206" s="100">
        <f t="shared" si="28"/>
        <v>167</v>
      </c>
      <c r="E206" s="463" t="s">
        <v>171</v>
      </c>
      <c r="F206" s="730">
        <v>2</v>
      </c>
      <c r="G206" s="927" t="s">
        <v>593</v>
      </c>
      <c r="H206" s="922" t="s">
        <v>192</v>
      </c>
      <c r="I206" s="923"/>
      <c r="J206" s="198" t="str">
        <f>IF(F206="","Belum Terisi",IF(OR(F206=1,F206=2,F206=3),"","CEK"))</f>
        <v/>
      </c>
      <c r="K206" s="31" t="str">
        <f t="shared" ref="K206:K208" si="29">IF(J206="CEK","Inputan Tidak Sesuai","")</f>
        <v/>
      </c>
      <c r="L206" s="43"/>
      <c r="M206" s="21" t="s">
        <v>667</v>
      </c>
      <c r="N206" s="847" t="s">
        <v>668</v>
      </c>
      <c r="O206" s="21"/>
      <c r="P206" s="21"/>
      <c r="Q206" s="21"/>
      <c r="R206" s="21"/>
      <c r="S206" s="21"/>
      <c r="T206" s="21"/>
      <c r="U206" s="21"/>
      <c r="V206" s="21"/>
    </row>
    <row r="207" spans="1:22" s="2" customFormat="1" ht="30" customHeight="1" x14ac:dyDescent="0.25">
      <c r="A207" s="577"/>
      <c r="B207" s="254" t="s">
        <v>252</v>
      </c>
      <c r="C207" s="255" t="s">
        <v>1291</v>
      </c>
      <c r="D207" s="100">
        <f t="shared" si="28"/>
        <v>168</v>
      </c>
      <c r="E207" s="463" t="s">
        <v>171</v>
      </c>
      <c r="F207" s="730">
        <v>3</v>
      </c>
      <c r="G207" s="927" t="s">
        <v>593</v>
      </c>
      <c r="H207" s="939" t="s">
        <v>195</v>
      </c>
      <c r="I207" s="923"/>
      <c r="J207" s="198" t="str">
        <f>IF(F207="","Belum Terisi",IF(OR(F207=1,F207=2,F207=3),"","CEK"))</f>
        <v/>
      </c>
      <c r="K207" s="31" t="str">
        <f t="shared" si="29"/>
        <v/>
      </c>
      <c r="L207" s="43"/>
      <c r="M207" s="21" t="s">
        <v>667</v>
      </c>
      <c r="N207" s="847" t="s">
        <v>668</v>
      </c>
      <c r="O207" s="21"/>
      <c r="P207" s="21"/>
      <c r="Q207" s="21"/>
      <c r="R207" s="21"/>
      <c r="S207" s="21"/>
      <c r="T207" s="21"/>
      <c r="U207" s="21"/>
      <c r="V207" s="21"/>
    </row>
    <row r="208" spans="1:22" s="2" customFormat="1" ht="30" customHeight="1" x14ac:dyDescent="0.25">
      <c r="A208" s="577"/>
      <c r="B208" s="254" t="s">
        <v>253</v>
      </c>
      <c r="C208" s="255" t="s">
        <v>2725</v>
      </c>
      <c r="D208" s="100">
        <f t="shared" si="28"/>
        <v>169</v>
      </c>
      <c r="E208" s="455" t="s">
        <v>171</v>
      </c>
      <c r="F208" s="728">
        <v>2</v>
      </c>
      <c r="G208" s="927" t="s">
        <v>593</v>
      </c>
      <c r="H208" s="923"/>
      <c r="I208" s="923"/>
      <c r="J208" s="198" t="str">
        <f>IF(F208="","Belum Terisi",IF(OR(F208=1,F208=2),"","CEK"))</f>
        <v/>
      </c>
      <c r="K208" s="31" t="str">
        <f t="shared" si="29"/>
        <v/>
      </c>
      <c r="L208" s="31"/>
      <c r="M208" s="21" t="s">
        <v>667</v>
      </c>
      <c r="N208" s="21"/>
      <c r="O208" s="21"/>
      <c r="P208" s="21"/>
      <c r="Q208" s="21"/>
      <c r="R208" s="21"/>
      <c r="S208" s="21"/>
      <c r="T208" s="21"/>
      <c r="U208" s="21"/>
      <c r="V208" s="21"/>
    </row>
    <row r="209" spans="1:22" s="2" customFormat="1" ht="30" customHeight="1" x14ac:dyDescent="0.25">
      <c r="A209" s="577"/>
      <c r="B209" s="254" t="s">
        <v>254</v>
      </c>
      <c r="C209" s="255" t="s">
        <v>2726</v>
      </c>
      <c r="D209" s="100">
        <f t="shared" si="28"/>
        <v>170</v>
      </c>
      <c r="E209" s="23" t="s">
        <v>261</v>
      </c>
      <c r="F209" s="727">
        <f>IF(AND(F206=1,F207=1,F208=1),5,
IF(AND(F206=1,F207=1,F208=2),5,
IF(AND(F206=1,F207=2,F208=1),5,
IF(AND(F206=1,F207=2,F208=2),4,
IF(AND(F206=1,F207=3,F208=1),5,
IF(AND(F206=1,F207=3,F208=2),3,
IF(AND(F206=2,F207=1,F208=1),4,
IF(AND(F206=2,F207=1,F208=2),4,
IF(AND(F206=2,F207=2,F208=1),3,
IF(AND(F206=2,F207=2,F208=2),2,
IF(AND(F206=2,F207=3,F208=1),3,
IF(AND(F206=2,F207=3,F208=2),2,
IF(AND(F206=3,F207=1,F208=1),4,
IF(AND(F206=3,F207=1,F208=2),2,
IF(AND(F206=3,F207=2,F208=1),2,
IF(AND(F206=3,F207=2,F208=2),1,
IF(AND(F206=3,F207=3,F208=1),1,
IF(AND(F206=3,F207=3,F208=2),1,"Tidak Teridentifikasi"))))))))))))))))))</f>
        <v>2</v>
      </c>
      <c r="G209" s="927" t="s">
        <v>593</v>
      </c>
      <c r="H209" s="922"/>
      <c r="I209" s="923"/>
      <c r="J209" s="198" t="str">
        <f>IF(F209="Tidak Teridentifikasi","CEK","")</f>
        <v/>
      </c>
      <c r="K209" s="31"/>
      <c r="L209" s="43"/>
      <c r="M209" s="21" t="s">
        <v>667</v>
      </c>
      <c r="N209" s="21"/>
      <c r="O209" s="21"/>
      <c r="P209" s="21"/>
      <c r="Q209" s="21"/>
      <c r="R209" s="21"/>
      <c r="S209" s="21"/>
      <c r="T209" s="21"/>
      <c r="U209" s="21"/>
      <c r="V209" s="21"/>
    </row>
    <row r="210" spans="1:22" s="2" customFormat="1" ht="49.9" customHeight="1" x14ac:dyDescent="0.25">
      <c r="A210" s="577"/>
      <c r="B210" s="254" t="s">
        <v>256</v>
      </c>
      <c r="C210" s="260" t="s">
        <v>2727</v>
      </c>
      <c r="D210" s="100">
        <f t="shared" si="28"/>
        <v>171</v>
      </c>
      <c r="E210" s="455" t="s">
        <v>174</v>
      </c>
      <c r="F210" s="728" t="s">
        <v>2808</v>
      </c>
      <c r="G210" s="927"/>
      <c r="H210" s="928"/>
      <c r="I210" s="923"/>
      <c r="J210" s="198" t="str">
        <f>IF(LEN(F210)&gt;0,"","Belum Terisi")</f>
        <v/>
      </c>
      <c r="K210" s="31"/>
      <c r="L210" s="43"/>
      <c r="M210" s="21" t="s">
        <v>667</v>
      </c>
      <c r="N210" s="21"/>
      <c r="O210" s="21"/>
      <c r="P210" s="21"/>
      <c r="Q210" s="21"/>
      <c r="R210" s="21"/>
      <c r="S210" s="21"/>
      <c r="T210" s="21"/>
      <c r="U210" s="21"/>
      <c r="V210" s="21"/>
    </row>
    <row r="211" spans="1:22" s="2" customFormat="1" ht="30" customHeight="1" x14ac:dyDescent="0.25">
      <c r="A211" s="577"/>
      <c r="B211" s="258" t="s">
        <v>257</v>
      </c>
      <c r="C211" s="255" t="s">
        <v>2728</v>
      </c>
      <c r="D211" s="100">
        <f t="shared" si="28"/>
        <v>172</v>
      </c>
      <c r="E211" s="455" t="s">
        <v>258</v>
      </c>
      <c r="F211" s="731">
        <v>0</v>
      </c>
      <c r="G211" s="927" t="s">
        <v>593</v>
      </c>
      <c r="H211" s="922"/>
      <c r="I211" s="923"/>
      <c r="J211" s="198" t="str">
        <f>IF(LEN(F211)&gt;0,"","Belum Terisi")</f>
        <v/>
      </c>
      <c r="K211" s="31"/>
      <c r="L211" s="43"/>
      <c r="M211" s="21" t="s">
        <v>667</v>
      </c>
      <c r="N211" s="21"/>
      <c r="O211" s="21"/>
      <c r="P211" s="21"/>
      <c r="Q211" s="21"/>
      <c r="R211" s="21"/>
      <c r="S211" s="21"/>
      <c r="T211" s="21"/>
      <c r="U211" s="21"/>
      <c r="V211" s="21"/>
    </row>
    <row r="212" spans="1:22" s="2" customFormat="1" ht="40.15" customHeight="1" x14ac:dyDescent="0.25">
      <c r="A212" s="578"/>
      <c r="B212" s="258" t="s">
        <v>259</v>
      </c>
      <c r="C212" s="255" t="s">
        <v>2729</v>
      </c>
      <c r="D212" s="100">
        <f t="shared" si="28"/>
        <v>173</v>
      </c>
      <c r="E212" s="49">
        <f>IFERROR(IF(AND(F211=0,F130=0),0,F211/F130),"CEK Penduduk Usia")</f>
        <v>0</v>
      </c>
      <c r="F212" s="727">
        <f>IF(E212&lt;=20%,1,
IF(AND(E212&gt;20%,E212&lt;=40%),2,
IF(AND(E212&gt;40%,E212&lt;=60%),3,
IF(AND(E212&gt;60%,E212&lt;=80%),4,
IF(AND(E212&gt;80%,E212&lt;=100%),5,"Tidak Teridentifikasi")))))</f>
        <v>1</v>
      </c>
      <c r="G212" s="927" t="s">
        <v>593</v>
      </c>
      <c r="H212" s="922"/>
      <c r="I212" s="923"/>
      <c r="J212" s="198" t="str">
        <f>IF(LEN(F212)&gt;0,"","Belum Terisi")</f>
        <v/>
      </c>
      <c r="K212" s="31"/>
      <c r="L212" s="31"/>
      <c r="M212" s="21" t="s">
        <v>667</v>
      </c>
      <c r="N212" s="21"/>
      <c r="O212" s="21"/>
      <c r="P212" s="21"/>
      <c r="Q212" s="21"/>
      <c r="R212" s="21"/>
      <c r="S212" s="21"/>
      <c r="T212" s="21"/>
      <c r="U212" s="21"/>
      <c r="V212" s="21"/>
    </row>
    <row r="213" spans="1:22" s="2" customFormat="1" ht="30" customHeight="1" x14ac:dyDescent="0.25">
      <c r="A213" s="579" t="s">
        <v>264</v>
      </c>
      <c r="B213" s="259"/>
      <c r="C213" s="261"/>
      <c r="D213" s="460"/>
      <c r="E213" s="429"/>
      <c r="F213" s="732"/>
      <c r="G213" s="924"/>
      <c r="H213" s="922"/>
      <c r="I213" s="923"/>
      <c r="J213" s="198"/>
      <c r="K213" s="31"/>
      <c r="L213" s="43"/>
      <c r="M213" s="21" t="s">
        <v>667</v>
      </c>
      <c r="N213" s="21"/>
      <c r="O213" s="21"/>
      <c r="P213" s="21"/>
      <c r="Q213" s="21"/>
      <c r="R213" s="21"/>
      <c r="S213" s="21"/>
      <c r="T213" s="21"/>
      <c r="U213" s="21"/>
      <c r="V213" s="21"/>
    </row>
    <row r="214" spans="1:22" s="2" customFormat="1" ht="30" customHeight="1" x14ac:dyDescent="0.25">
      <c r="A214" s="580" t="str">
        <f>"B "&amp;(RIGHT(A203,3)+1)</f>
        <v>B 105</v>
      </c>
      <c r="B214" s="258" t="s">
        <v>41</v>
      </c>
      <c r="C214" s="260" t="s">
        <v>265</v>
      </c>
      <c r="D214" s="100">
        <f>D212+1</f>
        <v>174</v>
      </c>
      <c r="E214" s="455" t="s">
        <v>96</v>
      </c>
      <c r="F214" s="803">
        <v>15</v>
      </c>
      <c r="G214" s="927"/>
      <c r="H214" s="928" t="s">
        <v>693</v>
      </c>
      <c r="I214" s="923"/>
      <c r="J214" s="198" t="str">
        <f>IF(LEN(F214)&gt;0,"","Belum Terisi")</f>
        <v/>
      </c>
      <c r="K214" s="31"/>
      <c r="L214" s="43"/>
      <c r="M214" s="21" t="s">
        <v>667</v>
      </c>
      <c r="N214" s="21"/>
      <c r="O214" s="21"/>
      <c r="P214" s="21"/>
      <c r="Q214" s="21"/>
      <c r="R214" s="21"/>
      <c r="S214" s="21"/>
      <c r="T214" s="21"/>
      <c r="U214" s="21"/>
      <c r="V214" s="21"/>
    </row>
    <row r="215" spans="1:22" s="2" customFormat="1" ht="30" customHeight="1" x14ac:dyDescent="0.25">
      <c r="A215" s="578"/>
      <c r="B215" s="258" t="s">
        <v>139</v>
      </c>
      <c r="C215" s="260" t="s">
        <v>882</v>
      </c>
      <c r="D215" s="100">
        <f>D214+1</f>
        <v>175</v>
      </c>
      <c r="E215" s="455" t="s">
        <v>96</v>
      </c>
      <c r="F215" s="804">
        <v>14</v>
      </c>
      <c r="G215" s="927"/>
      <c r="H215" s="928" t="s">
        <v>694</v>
      </c>
      <c r="I215" s="923"/>
      <c r="J215" s="198" t="str">
        <f>IF(LEN(F215)&gt;0,"","Belum Terisi")</f>
        <v/>
      </c>
      <c r="K215" s="31"/>
      <c r="L215" s="31"/>
      <c r="M215" s="21" t="s">
        <v>667</v>
      </c>
      <c r="N215" s="21"/>
      <c r="O215" s="21"/>
      <c r="P215" s="21"/>
      <c r="Q215" s="21"/>
      <c r="R215" s="21"/>
      <c r="S215" s="21"/>
      <c r="T215" s="21"/>
      <c r="U215" s="21"/>
      <c r="V215" s="21"/>
    </row>
    <row r="216" spans="1:22" s="2" customFormat="1" ht="30" customHeight="1" x14ac:dyDescent="0.25">
      <c r="A216" s="575" t="str">
        <f>"B "&amp;(RIGHT(A214,3)+1)</f>
        <v>B 106</v>
      </c>
      <c r="B216" s="258" t="s">
        <v>41</v>
      </c>
      <c r="C216" s="260" t="s">
        <v>266</v>
      </c>
      <c r="D216" s="100">
        <f>D215+1</f>
        <v>176</v>
      </c>
      <c r="E216" s="455" t="s">
        <v>171</v>
      </c>
      <c r="F216" s="805" t="s">
        <v>285</v>
      </c>
      <c r="G216" s="927"/>
      <c r="H216" s="928"/>
      <c r="I216" s="923"/>
      <c r="J216" s="198" t="str">
        <f>IF(LEN(F216)&gt;0,"","Belum Terisi")</f>
        <v/>
      </c>
      <c r="K216" s="31"/>
      <c r="L216" s="43"/>
      <c r="M216" s="21" t="s">
        <v>667</v>
      </c>
      <c r="N216" s="21"/>
      <c r="O216" s="21"/>
      <c r="P216" s="21"/>
      <c r="Q216" s="21"/>
      <c r="R216" s="21"/>
      <c r="S216" s="21"/>
      <c r="T216" s="21"/>
      <c r="U216" s="21"/>
      <c r="V216" s="21"/>
    </row>
    <row r="217" spans="1:22" s="2" customFormat="1" ht="49.9" customHeight="1" x14ac:dyDescent="0.25">
      <c r="A217" s="578"/>
      <c r="B217" s="258" t="s">
        <v>139</v>
      </c>
      <c r="C217" s="260" t="s">
        <v>883</v>
      </c>
      <c r="D217" s="100">
        <f>D216+1</f>
        <v>177</v>
      </c>
      <c r="E217" s="455" t="s">
        <v>174</v>
      </c>
      <c r="F217" s="807" t="s">
        <v>2809</v>
      </c>
      <c r="G217" s="924"/>
      <c r="H217" s="928"/>
      <c r="I217" s="923"/>
      <c r="J217" s="198" t="str">
        <f>IF(LEN(F217)&gt;0,"","Belum Terisi")</f>
        <v/>
      </c>
      <c r="K217" s="31"/>
      <c r="L217" s="43"/>
      <c r="M217" s="21" t="s">
        <v>667</v>
      </c>
      <c r="N217" s="21"/>
      <c r="O217" s="21"/>
      <c r="P217" s="21"/>
      <c r="Q217" s="21"/>
      <c r="R217" s="21"/>
      <c r="S217" s="21"/>
      <c r="T217" s="21"/>
      <c r="U217" s="21"/>
      <c r="V217" s="21"/>
    </row>
    <row r="218" spans="1:22" s="2" customFormat="1" ht="40.15" customHeight="1" x14ac:dyDescent="0.25">
      <c r="A218" s="575" t="str">
        <f>"B "&amp;(RIGHT(A216,3)+1)</f>
        <v>B 107</v>
      </c>
      <c r="B218" s="259"/>
      <c r="C218" s="260" t="s">
        <v>267</v>
      </c>
      <c r="D218" s="100">
        <f>D217+1</f>
        <v>178</v>
      </c>
      <c r="E218" s="455" t="s">
        <v>171</v>
      </c>
      <c r="F218" s="728" t="s">
        <v>263</v>
      </c>
      <c r="G218" s="927"/>
      <c r="H218" s="928"/>
      <c r="I218" s="923"/>
      <c r="J218" s="198" t="str">
        <f>IF(LEN(F218)&gt;0,"","Belum Terisi")</f>
        <v/>
      </c>
      <c r="K218" s="31"/>
      <c r="L218" s="43"/>
      <c r="M218" s="21" t="s">
        <v>667</v>
      </c>
      <c r="N218" s="21"/>
      <c r="O218" s="21"/>
      <c r="P218" s="21"/>
      <c r="Q218" s="21"/>
      <c r="R218" s="21"/>
      <c r="S218" s="21"/>
      <c r="T218" s="21"/>
      <c r="U218" s="21"/>
      <c r="V218" s="21"/>
    </row>
    <row r="219" spans="1:22" s="2" customFormat="1" ht="30" customHeight="1" x14ac:dyDescent="0.25">
      <c r="A219" s="579" t="s">
        <v>1310</v>
      </c>
      <c r="B219" s="262" t="s">
        <v>268</v>
      </c>
      <c r="C219" s="261"/>
      <c r="D219" s="464"/>
      <c r="E219" s="440"/>
      <c r="F219" s="714"/>
      <c r="G219" s="924"/>
      <c r="H219" s="922"/>
      <c r="I219" s="923"/>
      <c r="J219" s="98"/>
      <c r="K219" s="31"/>
      <c r="L219" s="31"/>
      <c r="M219" s="21" t="s">
        <v>667</v>
      </c>
      <c r="N219" s="21"/>
      <c r="O219" s="21"/>
      <c r="P219" s="21"/>
      <c r="Q219" s="21"/>
      <c r="R219" s="21"/>
      <c r="S219" s="21"/>
      <c r="T219" s="21"/>
      <c r="U219" s="21"/>
      <c r="V219" s="21"/>
    </row>
    <row r="220" spans="1:22" s="2" customFormat="1" ht="30" customHeight="1" x14ac:dyDescent="0.25">
      <c r="A220" s="570" t="s">
        <v>50</v>
      </c>
      <c r="B220" s="259"/>
      <c r="C220" s="263"/>
      <c r="D220" s="465"/>
      <c r="E220" s="440"/>
      <c r="F220" s="714"/>
      <c r="G220" s="924"/>
      <c r="H220" s="922"/>
      <c r="I220" s="923"/>
      <c r="J220" s="98"/>
      <c r="K220" s="31"/>
      <c r="L220" s="43"/>
      <c r="M220" s="21" t="s">
        <v>667</v>
      </c>
      <c r="N220" s="21"/>
      <c r="O220" s="21"/>
      <c r="P220" s="21"/>
      <c r="Q220" s="21"/>
      <c r="R220" s="21"/>
      <c r="S220" s="21"/>
      <c r="T220" s="21"/>
      <c r="U220" s="21"/>
      <c r="V220" s="21"/>
    </row>
    <row r="221" spans="1:22" s="2" customFormat="1" ht="30" customHeight="1" x14ac:dyDescent="0.25">
      <c r="A221" s="575" t="s">
        <v>1311</v>
      </c>
      <c r="B221" s="258" t="s">
        <v>41</v>
      </c>
      <c r="C221" s="255" t="s">
        <v>1292</v>
      </c>
      <c r="D221" s="100">
        <f>D218+1</f>
        <v>179</v>
      </c>
      <c r="E221" s="427" t="s">
        <v>171</v>
      </c>
      <c r="F221" s="693">
        <v>7</v>
      </c>
      <c r="G221" s="924"/>
      <c r="H221" s="922"/>
      <c r="I221" s="923"/>
      <c r="J221" s="198" t="str">
        <f>IF(LEN(F221)&gt;0,"","Belum Terisi")</f>
        <v/>
      </c>
      <c r="K221" s="31"/>
      <c r="L221" s="43"/>
      <c r="M221" s="21" t="s">
        <v>667</v>
      </c>
      <c r="N221" s="847" t="s">
        <v>668</v>
      </c>
      <c r="O221" s="21"/>
      <c r="P221" s="21"/>
      <c r="Q221" s="21"/>
      <c r="R221" s="21"/>
      <c r="S221" s="21"/>
      <c r="T221" s="21"/>
      <c r="U221" s="21"/>
      <c r="V221" s="21"/>
    </row>
    <row r="222" spans="1:22" s="2" customFormat="1" ht="30" customHeight="1" x14ac:dyDescent="0.25">
      <c r="A222" s="577"/>
      <c r="B222" s="258" t="s">
        <v>139</v>
      </c>
      <c r="C222" s="255" t="s">
        <v>1293</v>
      </c>
      <c r="D222" s="100">
        <f>D221+1</f>
        <v>180</v>
      </c>
      <c r="E222" s="466" t="s">
        <v>171</v>
      </c>
      <c r="F222" s="716">
        <v>2</v>
      </c>
      <c r="G222" s="927" t="s">
        <v>594</v>
      </c>
      <c r="H222" s="922" t="s">
        <v>539</v>
      </c>
      <c r="I222" s="923"/>
      <c r="J222" s="198" t="str">
        <f t="shared" ref="J222:J223" si="30">IF(F222="","Belum Terisi",IF(OR(F222=1,F222=2,F222=3),"","CEK"))</f>
        <v/>
      </c>
      <c r="K222" s="31" t="str">
        <f t="shared" ref="K222:K224" si="31">IF(J222="CEK","Inputan Tidak Sesuai","")</f>
        <v/>
      </c>
      <c r="L222" s="43"/>
      <c r="M222" s="21" t="s">
        <v>667</v>
      </c>
      <c r="N222" s="21"/>
      <c r="O222" s="21"/>
      <c r="P222" s="21"/>
      <c r="Q222" s="21"/>
      <c r="R222" s="21"/>
      <c r="S222" s="21"/>
      <c r="T222" s="21"/>
      <c r="U222" s="21"/>
      <c r="V222" s="21"/>
    </row>
    <row r="223" spans="1:22" s="2" customFormat="1" ht="30" customHeight="1" x14ac:dyDescent="0.25">
      <c r="A223" s="577"/>
      <c r="B223" s="258" t="s">
        <v>251</v>
      </c>
      <c r="C223" s="255" t="s">
        <v>1294</v>
      </c>
      <c r="D223" s="100">
        <f>D222+1</f>
        <v>181</v>
      </c>
      <c r="E223" s="466" t="s">
        <v>171</v>
      </c>
      <c r="F223" s="716">
        <v>2</v>
      </c>
      <c r="G223" s="927" t="s">
        <v>594</v>
      </c>
      <c r="H223" s="922" t="s">
        <v>572</v>
      </c>
      <c r="I223" s="923"/>
      <c r="J223" s="198" t="str">
        <f t="shared" si="30"/>
        <v/>
      </c>
      <c r="K223" s="31" t="str">
        <f t="shared" si="31"/>
        <v/>
      </c>
      <c r="L223" s="31"/>
      <c r="M223" s="21" t="s">
        <v>667</v>
      </c>
      <c r="N223" s="21"/>
      <c r="O223" s="21"/>
      <c r="P223" s="21"/>
      <c r="Q223" s="21"/>
      <c r="R223" s="21"/>
      <c r="S223" s="21"/>
      <c r="T223" s="21"/>
      <c r="U223" s="21"/>
      <c r="V223" s="21"/>
    </row>
    <row r="224" spans="1:22" s="2" customFormat="1" ht="30" customHeight="1" x14ac:dyDescent="0.25">
      <c r="A224" s="577"/>
      <c r="B224" s="258" t="s">
        <v>255</v>
      </c>
      <c r="C224" s="255" t="s">
        <v>272</v>
      </c>
      <c r="D224" s="100">
        <f>D223+1</f>
        <v>182</v>
      </c>
      <c r="E224" s="455" t="s">
        <v>171</v>
      </c>
      <c r="F224" s="772">
        <v>1</v>
      </c>
      <c r="G224" s="927" t="s">
        <v>594</v>
      </c>
      <c r="H224" s="922"/>
      <c r="I224" s="923"/>
      <c r="J224" s="198" t="str">
        <f>IF(F224="","Belum Terisi",IF(OR(F224=1,F224=2),"","CEK"))</f>
        <v/>
      </c>
      <c r="K224" s="31" t="str">
        <f t="shared" si="31"/>
        <v/>
      </c>
      <c r="L224" s="43"/>
      <c r="M224" s="21" t="s">
        <v>667</v>
      </c>
      <c r="N224" s="847" t="s">
        <v>668</v>
      </c>
      <c r="O224" s="21"/>
      <c r="P224" s="21"/>
      <c r="Q224" s="21"/>
      <c r="R224" s="21"/>
      <c r="S224" s="21"/>
      <c r="T224" s="21"/>
      <c r="U224" s="21"/>
      <c r="V224" s="21"/>
    </row>
    <row r="225" spans="1:22" s="2" customFormat="1" ht="30" customHeight="1" x14ac:dyDescent="0.25">
      <c r="A225" s="578"/>
      <c r="B225" s="258" t="s">
        <v>252</v>
      </c>
      <c r="C225" s="255" t="s">
        <v>273</v>
      </c>
      <c r="D225" s="100">
        <f>D224+1</f>
        <v>183</v>
      </c>
      <c r="E225" s="23" t="s">
        <v>261</v>
      </c>
      <c r="F225" s="806">
        <f>IF(AND(F222=1,F223=1,F224=1),5,
IF(AND(F222=1,F223=1,F224=2),5,
IF(AND(F222=1,F223=2,F224=1),5,
IF(AND(F222=1,F223=2,F224=2),4,
IF(AND(F222=1,F223=3,F224=1),5,
IF(AND(F222=1,F223=3,F224=2),3,
IF(AND(F222=2,F223=1,F224=1),4,
IF(AND(F222=2,F223=1,F224=2),4,
IF(AND(F222=2,F223=2,F224=1),3,
IF(AND(F222=2,F223=2,F224=2),2,
IF(AND(F222=2,F223=3,F224=1),3,
IF(AND(F222=2,F223=3,F224=2),2,
IF(AND(F222=3,F223=1,F224=1),4,
IF(AND(F222=3,F223=1,F224=2),2,
IF(AND(F222=3,F223=2,F224=1),2,
IF(AND(F222=3,F223=2,F224=2),1,
IF(AND(F222=3,F223=3,F224=1),1,
IF(AND(F222=3,F223=3,F224=2),1,"Tidak Teridentifikasi"))))))))))))))))))</f>
        <v>3</v>
      </c>
      <c r="G225" s="927" t="s">
        <v>594</v>
      </c>
      <c r="H225" s="922"/>
      <c r="I225" s="923"/>
      <c r="J225" s="198" t="str">
        <f>IF(F225="tidak teridentifikasi","CEK","")</f>
        <v/>
      </c>
      <c r="K225" s="31"/>
      <c r="L225" s="43"/>
      <c r="M225" s="21" t="s">
        <v>667</v>
      </c>
      <c r="N225" s="21"/>
      <c r="O225" s="21"/>
      <c r="P225" s="21"/>
      <c r="Q225" s="21"/>
      <c r="R225" s="21"/>
      <c r="S225" s="21"/>
      <c r="T225" s="21"/>
      <c r="U225" s="21"/>
      <c r="V225" s="21"/>
    </row>
    <row r="226" spans="1:22" s="2" customFormat="1" ht="40.15" customHeight="1" x14ac:dyDescent="0.25">
      <c r="A226" s="581" t="str">
        <f>"B "&amp;(RIGHT(A221,3)+1)</f>
        <v>B 202</v>
      </c>
      <c r="B226" s="264"/>
      <c r="C226" s="255" t="s">
        <v>587</v>
      </c>
      <c r="D226" s="441"/>
      <c r="E226" s="456"/>
      <c r="F226" s="734"/>
      <c r="G226" s="924"/>
      <c r="H226" s="922"/>
      <c r="I226" s="923"/>
      <c r="J226" s="198"/>
      <c r="K226" s="31"/>
      <c r="L226" s="43"/>
      <c r="M226" s="21" t="s">
        <v>667</v>
      </c>
      <c r="N226" s="847" t="s">
        <v>668</v>
      </c>
      <c r="O226" s="21"/>
      <c r="P226" s="21"/>
      <c r="Q226" s="21"/>
      <c r="R226" s="21"/>
      <c r="S226" s="21"/>
      <c r="T226" s="21"/>
      <c r="U226" s="21"/>
      <c r="V226" s="21"/>
    </row>
    <row r="227" spans="1:22" s="2" customFormat="1" ht="30" customHeight="1" x14ac:dyDescent="0.25">
      <c r="A227" s="577"/>
      <c r="B227" s="258" t="s">
        <v>41</v>
      </c>
      <c r="C227" s="255" t="s">
        <v>1295</v>
      </c>
      <c r="D227" s="100">
        <f>D225+1</f>
        <v>184</v>
      </c>
      <c r="E227" s="455" t="s">
        <v>171</v>
      </c>
      <c r="F227" s="805" t="s">
        <v>263</v>
      </c>
      <c r="G227" s="924"/>
      <c r="H227" s="922"/>
      <c r="I227" s="923"/>
      <c r="J227" s="198" t="str">
        <f>IF(F227="","Belum Terisi",IF(AND($F$224=2,F227="Ada"),"CEK",IF(AND($F$224=1,COUNTIF($F$227:$F$230,"tidak ada")=4,$F$231="-"),"CEK","")))</f>
        <v/>
      </c>
      <c r="K227" s="31" t="str">
        <f>IF(AND(J227="CEK",$F$224=2),"Tidak Ada Penyedia Sarana Transportasi Menuju Sarana Kesehatan Terdekat di Desa",IF(AND(J227="CEK",$F$224=1),"Ada Penyedia Sarana Transportasi Menuju Sarana Kesehatan Terdekat di Desa",""))</f>
        <v/>
      </c>
      <c r="L227" s="31"/>
      <c r="M227" s="21" t="s">
        <v>667</v>
      </c>
      <c r="N227" s="21" t="s">
        <v>668</v>
      </c>
      <c r="O227" s="21"/>
      <c r="P227" s="21"/>
      <c r="Q227" s="21"/>
      <c r="R227" s="21"/>
      <c r="S227" s="21"/>
      <c r="T227" s="21"/>
      <c r="U227" s="21"/>
      <c r="V227" s="21"/>
    </row>
    <row r="228" spans="1:22" s="2" customFormat="1" ht="30" customHeight="1" x14ac:dyDescent="0.25">
      <c r="A228" s="577"/>
      <c r="B228" s="258" t="s">
        <v>139</v>
      </c>
      <c r="C228" s="255" t="s">
        <v>1296</v>
      </c>
      <c r="D228" s="100">
        <f>D227+1</f>
        <v>185</v>
      </c>
      <c r="E228" s="455" t="s">
        <v>171</v>
      </c>
      <c r="F228" s="772" t="s">
        <v>263</v>
      </c>
      <c r="G228" s="924"/>
      <c r="H228" s="922"/>
      <c r="I228" s="923"/>
      <c r="J228" s="198" t="str">
        <f>IF(F228="","Belum Terisi",IF(AND($F$224=2,F228="Ada"),"CEK",IF(AND($F$224=1,COUNTIF($F$227:$F$230,"tidak ada")=4,$F$231="-"),"CEK","")))</f>
        <v/>
      </c>
      <c r="K228" s="31" t="str">
        <f>IF(AND(J228="CEK",$F$224=2),"Tidak Ada Penyedia Sarana Transportasi Menuju Sarana Kesehatan Terdekat di Desa",IF(AND(J228="CEK",$F$224=1),"Ada Penyedia Sarana Transportasi Menuju Sarana Kesehatan Terdekat di Desa",""))</f>
        <v/>
      </c>
      <c r="L228" s="43"/>
      <c r="M228" s="21" t="s">
        <v>667</v>
      </c>
      <c r="N228" s="21" t="s">
        <v>668</v>
      </c>
      <c r="O228" s="21"/>
      <c r="P228" s="21"/>
      <c r="Q228" s="21"/>
      <c r="R228" s="21"/>
      <c r="S228" s="21"/>
      <c r="T228" s="21"/>
      <c r="U228" s="21"/>
      <c r="V228" s="21"/>
    </row>
    <row r="229" spans="1:22" s="2" customFormat="1" ht="30" customHeight="1" x14ac:dyDescent="0.25">
      <c r="A229" s="577"/>
      <c r="B229" s="258" t="s">
        <v>251</v>
      </c>
      <c r="C229" s="255" t="s">
        <v>1297</v>
      </c>
      <c r="D229" s="100">
        <f>D228+1</f>
        <v>186</v>
      </c>
      <c r="E229" s="455" t="s">
        <v>171</v>
      </c>
      <c r="F229" s="772" t="s">
        <v>263</v>
      </c>
      <c r="G229" s="924"/>
      <c r="H229" s="922"/>
      <c r="I229" s="923"/>
      <c r="J229" s="198" t="str">
        <f>IF(F229="","Belum Terisi",IF(AND($F$224=2,F229="Ada"),"CEK",IF(AND($F$224=1,COUNTIF($F$227:$F$230,"tidak ada")=4,$F$231="-"),"CEK","")))</f>
        <v/>
      </c>
      <c r="K229" s="31" t="str">
        <f>IF(AND(J229="CEK",$F$224=2),"Tidak Ada Penyedia Sarana Transportasi Menuju Sarana Kesehatan Terdekat di Desa",IF(AND(J229="CEK",$F$224=1),"Ada Penyedia Sarana Transportasi Menuju Sarana Kesehatan Terdekat di Desa",""))</f>
        <v/>
      </c>
      <c r="L229" s="43"/>
      <c r="M229" s="21" t="s">
        <v>667</v>
      </c>
      <c r="N229" s="21" t="s">
        <v>668</v>
      </c>
      <c r="O229" s="21"/>
      <c r="P229" s="21"/>
      <c r="Q229" s="21"/>
      <c r="R229" s="21"/>
      <c r="S229" s="21"/>
      <c r="T229" s="21"/>
      <c r="U229" s="21"/>
      <c r="V229" s="21"/>
    </row>
    <row r="230" spans="1:22" s="2" customFormat="1" ht="30" customHeight="1" x14ac:dyDescent="0.25">
      <c r="A230" s="577"/>
      <c r="B230" s="258" t="s">
        <v>255</v>
      </c>
      <c r="C230" s="255" t="s">
        <v>1298</v>
      </c>
      <c r="D230" s="100">
        <f>D229+1</f>
        <v>187</v>
      </c>
      <c r="E230" s="455" t="s">
        <v>171</v>
      </c>
      <c r="F230" s="772" t="s">
        <v>263</v>
      </c>
      <c r="G230" s="924"/>
      <c r="H230" s="922"/>
      <c r="I230" s="923"/>
      <c r="J230" s="198" t="str">
        <f>IF(F230="","Belum Terisi",IF(AND($F$224=2,F230="Ada"),"CEK",IF(AND($F$224=1,COUNTIF($F$227:$F$230,"tidak ada")=4,$F$231="-"),"CEK","")))</f>
        <v/>
      </c>
      <c r="K230" s="31" t="str">
        <f>IF(AND(J230="CEK",$F$224=2),"Tidak Ada Penyedia Sarana Transportasi Menuju Sarana Kesehatan Terdekat di Desa",IF(AND(J230="CEK",$F$224=1),"Ada Penyedia Sarana Transportasi Menuju Sarana Kesehatan Terdekat di Desa",""))</f>
        <v/>
      </c>
      <c r="L230" s="43"/>
      <c r="M230" s="21" t="s">
        <v>667</v>
      </c>
      <c r="N230" s="21" t="s">
        <v>668</v>
      </c>
      <c r="O230" s="21"/>
      <c r="P230" s="21"/>
      <c r="Q230" s="21"/>
      <c r="R230" s="21"/>
      <c r="S230" s="21"/>
      <c r="T230" s="21"/>
      <c r="U230" s="21"/>
      <c r="V230" s="21"/>
    </row>
    <row r="231" spans="1:22" s="2" customFormat="1" ht="30" customHeight="1" x14ac:dyDescent="0.25">
      <c r="A231" s="578"/>
      <c r="B231" s="258" t="s">
        <v>252</v>
      </c>
      <c r="C231" s="255" t="s">
        <v>1299</v>
      </c>
      <c r="D231" s="100">
        <f>D230+1</f>
        <v>188</v>
      </c>
      <c r="E231" s="455" t="s">
        <v>174</v>
      </c>
      <c r="F231" s="807" t="s">
        <v>2810</v>
      </c>
      <c r="G231" s="924"/>
      <c r="H231" s="922"/>
      <c r="I231" s="923"/>
      <c r="J231" s="198" t="str">
        <f>IF(F231="","Belum Terisi",IF(AND($F$224=2,F231="Ada"),"CEK",IF(AND($F$224=1,COUNTIF($F$227:$F$230,"tidak ada")=4,$F$231="-"),"CEK","")))</f>
        <v/>
      </c>
      <c r="K231" s="31" t="str">
        <f>IF(AND(J231="CEK",$F$224=2),"Tidak Ada Penyedia Sarana Transportasi Menuju Sarana Kesehatan Terdekat di Desa",IF(AND(J231="CEK",$F$224=1),"Ada Penyedia Sarana Transportasi Menuju Sarana Kesehatan Terdekat di Desa",""))</f>
        <v/>
      </c>
      <c r="L231" s="31"/>
      <c r="M231" s="21" t="s">
        <v>667</v>
      </c>
      <c r="N231" s="21" t="s">
        <v>668</v>
      </c>
      <c r="O231" s="21"/>
      <c r="P231" s="21"/>
      <c r="Q231" s="21"/>
      <c r="R231" s="21"/>
      <c r="S231" s="21"/>
      <c r="T231" s="21"/>
      <c r="U231" s="21"/>
      <c r="V231" s="21"/>
    </row>
    <row r="232" spans="1:22" s="2" customFormat="1" ht="30" customHeight="1" x14ac:dyDescent="0.25">
      <c r="A232" s="579" t="s">
        <v>577</v>
      </c>
      <c r="B232" s="259"/>
      <c r="C232" s="261"/>
      <c r="D232" s="441"/>
      <c r="E232" s="429"/>
      <c r="F232" s="714"/>
      <c r="G232" s="924"/>
      <c r="H232" s="922"/>
      <c r="I232" s="923"/>
      <c r="J232" s="98"/>
      <c r="K232" s="31"/>
      <c r="L232" s="43"/>
      <c r="M232" s="21" t="s">
        <v>667</v>
      </c>
      <c r="N232" s="21"/>
      <c r="O232" s="21"/>
      <c r="P232" s="21"/>
      <c r="Q232" s="21"/>
      <c r="R232" s="21"/>
      <c r="S232" s="21"/>
      <c r="T232" s="21"/>
      <c r="U232" s="21"/>
      <c r="V232" s="21"/>
    </row>
    <row r="233" spans="1:22" s="2" customFormat="1" ht="30" customHeight="1" x14ac:dyDescent="0.25">
      <c r="A233" s="580" t="str">
        <f>"B "&amp;(RIGHT(A226,3)+1)</f>
        <v>B 203</v>
      </c>
      <c r="B233" s="258" t="s">
        <v>41</v>
      </c>
      <c r="C233" s="265" t="s">
        <v>578</v>
      </c>
      <c r="D233" s="100">
        <f>D231+1</f>
        <v>189</v>
      </c>
      <c r="E233" s="467" t="s">
        <v>171</v>
      </c>
      <c r="F233" s="699">
        <v>1</v>
      </c>
      <c r="G233" s="927" t="s">
        <v>595</v>
      </c>
      <c r="H233" s="922" t="s">
        <v>821</v>
      </c>
      <c r="I233" s="923"/>
      <c r="J233" s="198" t="str">
        <f>IF(F233="","Belum Terisi",IF(AND(F233&gt;=0,F233&lt;=3),"","CEK"))</f>
        <v/>
      </c>
      <c r="K233" s="31" t="str">
        <f t="shared" ref="K233" si="32">IF(J233="CEK","Inputan Tidak Sesuai","")</f>
        <v/>
      </c>
      <c r="L233" s="43"/>
      <c r="M233" s="21" t="s">
        <v>667</v>
      </c>
      <c r="N233" s="21"/>
      <c r="O233" s="21"/>
      <c r="P233" s="21"/>
      <c r="Q233" s="21"/>
      <c r="R233" s="21"/>
      <c r="S233" s="21"/>
      <c r="T233" s="21"/>
      <c r="U233" s="21"/>
      <c r="V233" s="21"/>
    </row>
    <row r="234" spans="1:22" s="2" customFormat="1" ht="30" customHeight="1" x14ac:dyDescent="0.25">
      <c r="A234" s="577"/>
      <c r="B234" s="258" t="s">
        <v>139</v>
      </c>
      <c r="C234" s="255" t="s">
        <v>1300</v>
      </c>
      <c r="D234" s="100">
        <f>D233+1</f>
        <v>190</v>
      </c>
      <c r="E234" s="23" t="s">
        <v>261</v>
      </c>
      <c r="F234" s="727">
        <f>IF(F233&gt;0,5,1)</f>
        <v>5</v>
      </c>
      <c r="G234" s="927" t="s">
        <v>595</v>
      </c>
      <c r="H234" s="922" t="s">
        <v>822</v>
      </c>
      <c r="I234" s="923"/>
      <c r="J234" s="198" t="str">
        <f>IF(LEN(F234)&gt;0,"","Belum Terisi")</f>
        <v/>
      </c>
      <c r="K234" s="31"/>
      <c r="L234" s="31"/>
      <c r="M234" s="21" t="s">
        <v>667</v>
      </c>
      <c r="N234" s="21"/>
      <c r="O234" s="21"/>
      <c r="P234" s="21"/>
      <c r="Q234" s="21"/>
      <c r="R234" s="21"/>
      <c r="S234" s="21"/>
      <c r="T234" s="21"/>
      <c r="U234" s="21"/>
      <c r="V234" s="21"/>
    </row>
    <row r="235" spans="1:22" s="2" customFormat="1" ht="30" customHeight="1" x14ac:dyDescent="0.25">
      <c r="A235" s="577"/>
      <c r="B235" s="258" t="s">
        <v>251</v>
      </c>
      <c r="C235" s="255" t="s">
        <v>1301</v>
      </c>
      <c r="D235" s="100">
        <f>D234+1</f>
        <v>191</v>
      </c>
      <c r="E235" s="461" t="s">
        <v>171</v>
      </c>
      <c r="F235" s="730">
        <v>2</v>
      </c>
      <c r="G235" s="927" t="s">
        <v>595</v>
      </c>
      <c r="H235" s="922" t="s">
        <v>190</v>
      </c>
      <c r="I235" s="923"/>
      <c r="J235" s="198" t="str">
        <f>IF(F235="","Belum Terisi",IF(OR(F235=1,F235=2,F235=3),"","CEK"))</f>
        <v/>
      </c>
      <c r="K235" s="31" t="str">
        <f t="shared" ref="K235:K237" si="33">IF(J235="CEK","Inputan Tidak Sesuai","")</f>
        <v/>
      </c>
      <c r="L235" s="43"/>
      <c r="M235" s="21" t="s">
        <v>667</v>
      </c>
      <c r="N235" s="21"/>
      <c r="O235" s="21"/>
      <c r="P235" s="21"/>
      <c r="Q235" s="21"/>
      <c r="R235" s="21"/>
      <c r="S235" s="21"/>
      <c r="T235" s="21"/>
      <c r="U235" s="21"/>
      <c r="V235" s="21"/>
    </row>
    <row r="236" spans="1:22" s="2" customFormat="1" ht="30" customHeight="1" x14ac:dyDescent="0.25">
      <c r="A236" s="577"/>
      <c r="B236" s="258" t="s">
        <v>255</v>
      </c>
      <c r="C236" s="255" t="s">
        <v>1302</v>
      </c>
      <c r="D236" s="100">
        <f>D235+1</f>
        <v>192</v>
      </c>
      <c r="E236" s="461" t="s">
        <v>171</v>
      </c>
      <c r="F236" s="730">
        <v>2</v>
      </c>
      <c r="G236" s="927" t="s">
        <v>595</v>
      </c>
      <c r="H236" s="922" t="s">
        <v>571</v>
      </c>
      <c r="I236" s="923"/>
      <c r="J236" s="198" t="str">
        <f>IF(F236="","Belum Terisi",IF(OR(F236=1,F236=2,F236=3),"","CEK"))</f>
        <v/>
      </c>
      <c r="K236" s="31" t="str">
        <f t="shared" si="33"/>
        <v/>
      </c>
      <c r="L236" s="43"/>
      <c r="M236" s="21" t="s">
        <v>667</v>
      </c>
      <c r="N236" s="21"/>
      <c r="O236" s="21"/>
      <c r="P236" s="21"/>
      <c r="Q236" s="21"/>
      <c r="R236" s="21"/>
      <c r="S236" s="21"/>
      <c r="T236" s="21"/>
      <c r="U236" s="21"/>
      <c r="V236" s="21"/>
    </row>
    <row r="237" spans="1:22" s="2" customFormat="1" ht="30" customHeight="1" x14ac:dyDescent="0.25">
      <c r="A237" s="577"/>
      <c r="B237" s="258" t="s">
        <v>252</v>
      </c>
      <c r="C237" s="255" t="s">
        <v>579</v>
      </c>
      <c r="D237" s="100">
        <f>D236+1</f>
        <v>193</v>
      </c>
      <c r="E237" s="455" t="s">
        <v>171</v>
      </c>
      <c r="F237" s="728">
        <v>1</v>
      </c>
      <c r="G237" s="927" t="s">
        <v>595</v>
      </c>
      <c r="H237" s="923"/>
      <c r="I237" s="923"/>
      <c r="J237" s="198" t="str">
        <f>IF(F237="","Belum Terisi",IF(OR(F237=1,F237=2),"","CEK"))</f>
        <v/>
      </c>
      <c r="K237" s="31" t="str">
        <f t="shared" si="33"/>
        <v/>
      </c>
      <c r="L237" s="31"/>
      <c r="M237" s="21" t="s">
        <v>667</v>
      </c>
      <c r="N237" s="21"/>
      <c r="O237" s="21"/>
      <c r="P237" s="21"/>
      <c r="Q237" s="21"/>
      <c r="R237" s="21"/>
      <c r="S237" s="21"/>
      <c r="T237" s="21"/>
      <c r="U237" s="21"/>
      <c r="V237" s="21"/>
    </row>
    <row r="238" spans="1:22" s="2" customFormat="1" ht="30" customHeight="1" x14ac:dyDescent="0.25">
      <c r="A238" s="578"/>
      <c r="B238" s="258" t="s">
        <v>253</v>
      </c>
      <c r="C238" s="255" t="s">
        <v>580</v>
      </c>
      <c r="D238" s="100">
        <f>D237+1</f>
        <v>194</v>
      </c>
      <c r="E238" s="23" t="s">
        <v>261</v>
      </c>
      <c r="F238" s="727">
        <f>IF(AND(F235=1,F236=1,F237=1),5,
IF(AND(F235=1,F236=1,F237=2),5,
IF(AND(F235=1,F236=2,F237=1),5,
IF(AND(F235=1,F236=2,F237=2),4,
IF(AND(F235=1,F236=3,F237=1),5,
IF(AND(F235=1,F236=3,F237=2),3,
IF(AND(F235=2,F236=1,F237=1),4,
IF(AND(F235=2,F236=1,F237=2),4,
IF(AND(F235=2,F236=2,F237=1),3,
IF(AND(F235=2,F236=2,F237=2),2,
IF(AND(F235=2,F236=3,F237=1),3,
IF(AND(F235=2,F236=3,F237=2),2,
IF(AND(F235=3,F236=1,F237=1),4,
IF(AND(F235=3,F236=1,F237=2),2,
IF(AND(F235=3,F236=2,F237=1),2,
IF(AND(F235=3,F236=2,F237=2),1,
IF(AND(F235=3,F236=3,F237=1),1,
IF(AND(F235=3,F236=3,F237=2),1,"Tidak Teridentifikasi"))))))))))))))))))</f>
        <v>3</v>
      </c>
      <c r="G238" s="927" t="s">
        <v>595</v>
      </c>
      <c r="H238" s="925"/>
      <c r="I238" s="923"/>
      <c r="J238" s="198" t="str">
        <f>IF(F238="tidak teridentifikasi","CEK","")</f>
        <v/>
      </c>
      <c r="K238" s="31"/>
      <c r="L238" s="43"/>
      <c r="M238" s="21" t="s">
        <v>667</v>
      </c>
      <c r="N238" s="21"/>
      <c r="O238" s="21"/>
      <c r="P238" s="21"/>
      <c r="Q238" s="21"/>
      <c r="R238" s="21"/>
      <c r="S238" s="21"/>
      <c r="T238" s="21"/>
      <c r="U238" s="21"/>
      <c r="V238" s="21"/>
    </row>
    <row r="239" spans="1:22" s="2" customFormat="1" ht="30" customHeight="1" x14ac:dyDescent="0.25">
      <c r="A239" s="579" t="s">
        <v>275</v>
      </c>
      <c r="B239" s="259"/>
      <c r="C239" s="261"/>
      <c r="D239" s="460"/>
      <c r="E239" s="429"/>
      <c r="F239" s="732"/>
      <c r="G239" s="924"/>
      <c r="H239" s="925"/>
      <c r="I239" s="923"/>
      <c r="J239" s="198"/>
      <c r="K239" s="31"/>
      <c r="L239" s="43"/>
      <c r="M239" s="21" t="s">
        <v>667</v>
      </c>
      <c r="N239" s="21"/>
      <c r="O239" s="21"/>
      <c r="P239" s="21"/>
      <c r="Q239" s="21"/>
      <c r="R239" s="21"/>
      <c r="S239" s="21"/>
      <c r="T239" s="21"/>
      <c r="U239" s="21"/>
      <c r="V239" s="21"/>
    </row>
    <row r="240" spans="1:22" s="2" customFormat="1" ht="30" customHeight="1" x14ac:dyDescent="0.25">
      <c r="A240" s="580" t="str">
        <f>"B "&amp;(RIGHT(A233,3)+1)</f>
        <v>B 204</v>
      </c>
      <c r="B240" s="258" t="s">
        <v>41</v>
      </c>
      <c r="C240" s="265" t="s">
        <v>276</v>
      </c>
      <c r="D240" s="100">
        <f>D238+1</f>
        <v>195</v>
      </c>
      <c r="E240" s="468" t="s">
        <v>171</v>
      </c>
      <c r="F240" s="735">
        <v>5</v>
      </c>
      <c r="G240" s="927" t="s">
        <v>140</v>
      </c>
      <c r="H240" s="925"/>
      <c r="I240" s="923"/>
      <c r="J240" s="198" t="str">
        <f>IF(F240="","Belum Terisi",IF(OR(F240=1,F240=5),"","CEK"))</f>
        <v/>
      </c>
      <c r="K240" s="31" t="str">
        <f t="shared" ref="K240" si="34">IF(J240="CEK","Inputan Tidak Sesuai","")</f>
        <v/>
      </c>
      <c r="L240" s="31"/>
      <c r="M240" s="21" t="s">
        <v>667</v>
      </c>
      <c r="N240" s="847" t="s">
        <v>668</v>
      </c>
      <c r="O240" s="21"/>
      <c r="P240" s="21"/>
      <c r="Q240" s="21"/>
      <c r="R240" s="21"/>
      <c r="S240" s="21"/>
      <c r="T240" s="21"/>
      <c r="U240" s="21"/>
      <c r="V240" s="21"/>
    </row>
    <row r="241" spans="1:22" s="2" customFormat="1" ht="30" customHeight="1" x14ac:dyDescent="0.25">
      <c r="A241" s="577"/>
      <c r="B241" s="258" t="s">
        <v>139</v>
      </c>
      <c r="C241" s="255" t="s">
        <v>277</v>
      </c>
      <c r="D241" s="100">
        <f t="shared" ref="D241:D246" si="35">D240+1</f>
        <v>196</v>
      </c>
      <c r="E241" s="435" t="s">
        <v>171</v>
      </c>
      <c r="F241" s="686">
        <v>4</v>
      </c>
      <c r="G241" s="927" t="s">
        <v>140</v>
      </c>
      <c r="H241" s="922"/>
      <c r="I241" s="923"/>
      <c r="J241" s="198" t="str">
        <f>IF(F241="","Belum Terisi",IF(AND(F240=1,F241&lt;&gt;1),"CEK",IF(AND(F241&gt;=1,F241&lt;=5),"","CEK")))</f>
        <v/>
      </c>
      <c r="K241" s="31" t="str">
        <f>IF(AND(J241="CEK",F240=1),"Tidak Tersedia Fasilitas Posyandu",IF(AND(J241="CEK",F241&gt;5),"Inputan Tidak Sesuai",""))</f>
        <v/>
      </c>
      <c r="L241" s="31"/>
      <c r="M241" s="21" t="s">
        <v>667</v>
      </c>
      <c r="N241" s="21"/>
      <c r="O241" s="21"/>
      <c r="P241" s="21"/>
      <c r="Q241" s="21"/>
      <c r="R241" s="21"/>
      <c r="S241" s="21"/>
      <c r="T241" s="21"/>
      <c r="U241" s="21"/>
      <c r="V241" s="21"/>
    </row>
    <row r="242" spans="1:22" s="2" customFormat="1" ht="30" customHeight="1" x14ac:dyDescent="0.25">
      <c r="A242" s="577"/>
      <c r="B242" s="258" t="s">
        <v>251</v>
      </c>
      <c r="C242" s="255" t="s">
        <v>2624</v>
      </c>
      <c r="D242" s="100">
        <f t="shared" si="35"/>
        <v>197</v>
      </c>
      <c r="E242" s="435" t="s">
        <v>174</v>
      </c>
      <c r="F242" s="686" t="s">
        <v>2811</v>
      </c>
      <c r="G242" s="924"/>
      <c r="H242" s="923">
        <v>5</v>
      </c>
      <c r="I242" s="923"/>
      <c r="J242" s="198" t="str">
        <f>IF(LEN(F242)&gt;0,"","Belum Terisi")</f>
        <v/>
      </c>
      <c r="K242" s="31"/>
      <c r="L242" s="43"/>
      <c r="M242" s="21" t="s">
        <v>667</v>
      </c>
      <c r="N242" s="21"/>
      <c r="O242" s="21"/>
      <c r="P242" s="21"/>
      <c r="Q242" s="21"/>
      <c r="R242" s="21"/>
      <c r="S242" s="21"/>
      <c r="T242" s="21"/>
      <c r="U242" s="21"/>
      <c r="V242" s="21"/>
    </row>
    <row r="243" spans="1:22" s="2" customFormat="1" ht="30" customHeight="1" x14ac:dyDescent="0.25">
      <c r="A243" s="577"/>
      <c r="B243" s="258" t="s">
        <v>255</v>
      </c>
      <c r="C243" s="255" t="s">
        <v>824</v>
      </c>
      <c r="D243" s="100">
        <f t="shared" si="35"/>
        <v>198</v>
      </c>
      <c r="E243" s="461" t="s">
        <v>171</v>
      </c>
      <c r="F243" s="730">
        <v>1</v>
      </c>
      <c r="G243" s="927" t="s">
        <v>140</v>
      </c>
      <c r="H243" s="923">
        <v>4</v>
      </c>
      <c r="I243" s="923"/>
      <c r="J243" s="198" t="str">
        <f>IF(F243="","Belum Terisi",IF(OR(F243=1,F243=2,F243=3),"","CEK"))</f>
        <v/>
      </c>
      <c r="K243" s="31" t="str">
        <f t="shared" ref="K243:K245" si="36">IF(J243="CEK","Inputan Tidak Sesuai","")</f>
        <v/>
      </c>
      <c r="L243" s="43"/>
      <c r="M243" s="21" t="s">
        <v>667</v>
      </c>
      <c r="N243" s="21"/>
      <c r="O243" s="21"/>
      <c r="P243" s="21"/>
      <c r="Q243" s="21"/>
      <c r="R243" s="21"/>
      <c r="S243" s="21"/>
      <c r="T243" s="21"/>
      <c r="U243" s="21"/>
      <c r="V243" s="21"/>
    </row>
    <row r="244" spans="1:22" s="2" customFormat="1" ht="30" customHeight="1" x14ac:dyDescent="0.25">
      <c r="A244" s="577"/>
      <c r="B244" s="258" t="s">
        <v>252</v>
      </c>
      <c r="C244" s="255" t="s">
        <v>823</v>
      </c>
      <c r="D244" s="100">
        <f t="shared" si="35"/>
        <v>199</v>
      </c>
      <c r="E244" s="461" t="s">
        <v>171</v>
      </c>
      <c r="F244" s="730">
        <v>2</v>
      </c>
      <c r="G244" s="927" t="s">
        <v>140</v>
      </c>
      <c r="H244" s="923">
        <v>3</v>
      </c>
      <c r="I244" s="923"/>
      <c r="J244" s="198" t="str">
        <f>IF(F244="","Belum Terisi",IF(OR(F244=1,F244=2,F244=3),"","CEK"))</f>
        <v/>
      </c>
      <c r="K244" s="31" t="str">
        <f t="shared" si="36"/>
        <v/>
      </c>
      <c r="L244" s="43"/>
      <c r="M244" s="21" t="s">
        <v>667</v>
      </c>
      <c r="N244" s="21"/>
      <c r="O244" s="21"/>
      <c r="P244" s="21"/>
      <c r="Q244" s="21"/>
      <c r="R244" s="21"/>
      <c r="S244" s="21"/>
      <c r="T244" s="21"/>
      <c r="U244" s="21"/>
      <c r="V244" s="21"/>
    </row>
    <row r="245" spans="1:22" s="2" customFormat="1" ht="30" customHeight="1" x14ac:dyDescent="0.25">
      <c r="A245" s="577"/>
      <c r="B245" s="258" t="s">
        <v>253</v>
      </c>
      <c r="C245" s="255" t="s">
        <v>825</v>
      </c>
      <c r="D245" s="100">
        <f t="shared" si="35"/>
        <v>200</v>
      </c>
      <c r="E245" s="461" t="s">
        <v>171</v>
      </c>
      <c r="F245" s="728">
        <v>2</v>
      </c>
      <c r="G245" s="927" t="s">
        <v>140</v>
      </c>
      <c r="H245" s="923">
        <v>2</v>
      </c>
      <c r="I245" s="923"/>
      <c r="J245" s="198" t="str">
        <f>IF(F245="","Belum Terisi",IF(OR(F245=1,F245=2),"","CEK"))</f>
        <v/>
      </c>
      <c r="K245" s="31" t="str">
        <f t="shared" si="36"/>
        <v/>
      </c>
      <c r="L245" s="31"/>
      <c r="M245" s="21" t="s">
        <v>667</v>
      </c>
      <c r="N245" s="21"/>
      <c r="O245" s="21"/>
      <c r="P245" s="21"/>
      <c r="Q245" s="21"/>
      <c r="R245" s="21"/>
      <c r="S245" s="21"/>
      <c r="T245" s="21"/>
      <c r="U245" s="21"/>
      <c r="V245" s="21"/>
    </row>
    <row r="246" spans="1:22" s="2" customFormat="1" ht="30" customHeight="1" x14ac:dyDescent="0.25">
      <c r="A246" s="578"/>
      <c r="B246" s="258" t="s">
        <v>254</v>
      </c>
      <c r="C246" s="255" t="s">
        <v>278</v>
      </c>
      <c r="D246" s="100">
        <f t="shared" si="35"/>
        <v>201</v>
      </c>
      <c r="E246" s="23" t="s">
        <v>261</v>
      </c>
      <c r="F246" s="727">
        <f>IF(AND(F243=1,F244=1,F245=1),5,
IF(AND(F243=1,F244=1,F245=2),5,
IF(AND(F243=1,F244=2,F245=1),5,
IF(AND(F243=1,F244=2,F245=2),4,
IF(AND(F243=1,F244=3,F245=1),5,
IF(AND(F243=1,F244=3,F245=2),3,
IF(AND(F243=2,F244=1,F245=1),4,
IF(AND(F243=2,F244=1,F245=2),4,
IF(AND(F243=2,F244=2,F245=1),3,
IF(AND(F243=2,F244=2,F245=2),2,
IF(AND(F243=2,F244=3,F245=1),3,
IF(AND(F243=2,F244=3,F245=2),2,
IF(AND(F243=3,F244=1,F245=1),4,
IF(AND(F243=3,F244=1,F245=2),2,
IF(AND(F243=3,F244=2,F245=1),2,
IF(AND(F243=3,F244=2,F245=2),1,
IF(AND(F243=3,F244=3,F245=1),1,
IF(AND(F243=3,F244=3,F245=2),1,"Tidak Teridentifikasi"))))))))))))))))))</f>
        <v>4</v>
      </c>
      <c r="G246" s="927" t="s">
        <v>140</v>
      </c>
      <c r="H246" s="923"/>
      <c r="I246" s="923"/>
      <c r="J246" s="198" t="str">
        <f>IF(F246="tidak teridentifikasi","CEK","")</f>
        <v/>
      </c>
      <c r="K246" s="31"/>
      <c r="L246" s="43"/>
      <c r="M246" s="21" t="s">
        <v>667</v>
      </c>
      <c r="N246" s="21"/>
      <c r="O246" s="21"/>
      <c r="P246" s="21"/>
      <c r="Q246" s="21"/>
      <c r="R246" s="21"/>
      <c r="S246" s="21"/>
      <c r="T246" s="21"/>
      <c r="U246" s="21"/>
      <c r="V246" s="21"/>
    </row>
    <row r="247" spans="1:22" s="2" customFormat="1" ht="30" customHeight="1" x14ac:dyDescent="0.25">
      <c r="A247" s="582" t="s">
        <v>60</v>
      </c>
      <c r="B247" s="259"/>
      <c r="C247" s="253"/>
      <c r="D247" s="469"/>
      <c r="E247" s="429"/>
      <c r="F247" s="714"/>
      <c r="G247" s="924"/>
      <c r="H247" s="922"/>
      <c r="I247" s="923"/>
      <c r="J247" s="98"/>
      <c r="K247" s="31"/>
      <c r="L247" s="31"/>
      <c r="M247" s="21" t="s">
        <v>667</v>
      </c>
      <c r="N247" s="21"/>
      <c r="O247" s="21"/>
      <c r="P247" s="21"/>
      <c r="Q247" s="21"/>
      <c r="R247" s="21"/>
      <c r="S247" s="21"/>
      <c r="T247" s="21"/>
      <c r="U247" s="21"/>
      <c r="V247" s="21"/>
    </row>
    <row r="248" spans="1:22" s="2" customFormat="1" ht="30" customHeight="1" x14ac:dyDescent="0.25">
      <c r="A248" s="580" t="str">
        <f>"B "&amp;(RIGHT(A240,3)+1)</f>
        <v>B 205</v>
      </c>
      <c r="B248" s="258" t="s">
        <v>41</v>
      </c>
      <c r="C248" s="255" t="s">
        <v>1306</v>
      </c>
      <c r="D248" s="100">
        <f>D246+1</f>
        <v>202</v>
      </c>
      <c r="E248" s="427" t="s">
        <v>171</v>
      </c>
      <c r="F248" s="693" t="s">
        <v>285</v>
      </c>
      <c r="G248" s="924"/>
      <c r="H248" s="922"/>
      <c r="I248" s="923"/>
      <c r="J248" s="198" t="str">
        <f>IF(LEN(F248)&gt;0,"","Belum Terisi")</f>
        <v/>
      </c>
      <c r="K248" s="31"/>
      <c r="L248" s="43"/>
      <c r="M248" s="21" t="s">
        <v>667</v>
      </c>
      <c r="N248" s="847" t="s">
        <v>668</v>
      </c>
      <c r="O248" s="21"/>
      <c r="P248" s="21"/>
      <c r="Q248" s="21"/>
      <c r="R248" s="21"/>
      <c r="S248" s="21"/>
      <c r="T248" s="21"/>
      <c r="U248" s="21"/>
      <c r="V248" s="21"/>
    </row>
    <row r="249" spans="1:22" s="2" customFormat="1" ht="30" customHeight="1" x14ac:dyDescent="0.25">
      <c r="A249" s="577"/>
      <c r="B249" s="258" t="s">
        <v>139</v>
      </c>
      <c r="C249" s="260" t="s">
        <v>287</v>
      </c>
      <c r="D249" s="100">
        <f>D248+1</f>
        <v>203</v>
      </c>
      <c r="E249" s="470" t="s">
        <v>62</v>
      </c>
      <c r="F249" s="717">
        <v>1</v>
      </c>
      <c r="G249" s="924"/>
      <c r="H249" s="922"/>
      <c r="I249" s="923"/>
      <c r="J249" s="198" t="str">
        <f>IF(F249="","Belum Terisi",IF(AND(F248="Tidak Ada",F249&lt;&gt;0),"CEK",IF(AND(F248="Ada",F249=0),"CEK","")))</f>
        <v/>
      </c>
      <c r="K249" s="31" t="str">
        <f>IF(J249="CEK",F248&amp;" Praktek Bidan di Desa","")</f>
        <v/>
      </c>
      <c r="L249" s="43"/>
      <c r="M249" s="21" t="s">
        <v>667</v>
      </c>
      <c r="N249" s="21"/>
      <c r="O249" s="21"/>
      <c r="P249" s="21"/>
      <c r="Q249" s="21"/>
      <c r="R249" s="21"/>
      <c r="S249" s="21"/>
      <c r="T249" s="21"/>
      <c r="U249" s="21"/>
      <c r="V249" s="21"/>
    </row>
    <row r="250" spans="1:22" s="2" customFormat="1" ht="30" customHeight="1" x14ac:dyDescent="0.25">
      <c r="A250" s="582" t="s">
        <v>2618</v>
      </c>
      <c r="B250" s="259"/>
      <c r="C250" s="253"/>
      <c r="D250" s="469"/>
      <c r="E250" s="429"/>
      <c r="F250" s="714"/>
      <c r="G250" s="924"/>
      <c r="H250" s="922"/>
      <c r="I250" s="923"/>
      <c r="J250" s="198"/>
      <c r="K250" s="31"/>
      <c r="L250" s="43"/>
      <c r="M250" s="21"/>
      <c r="N250" s="21"/>
      <c r="O250" s="21"/>
      <c r="P250" s="21"/>
      <c r="Q250" s="21"/>
      <c r="R250" s="21"/>
      <c r="S250" s="21"/>
      <c r="T250" s="21"/>
      <c r="U250" s="21"/>
      <c r="V250" s="21"/>
    </row>
    <row r="251" spans="1:22" s="2" customFormat="1" ht="30" customHeight="1" x14ac:dyDescent="0.25">
      <c r="A251" s="580" t="str">
        <f>"B "&amp;(RIGHT(A248,3)+1)</f>
        <v>B 206</v>
      </c>
      <c r="B251" s="258" t="s">
        <v>41</v>
      </c>
      <c r="C251" s="255" t="s">
        <v>270</v>
      </c>
      <c r="D251" s="100">
        <f>D249+1</f>
        <v>204</v>
      </c>
      <c r="E251" s="427" t="s">
        <v>171</v>
      </c>
      <c r="F251" s="805">
        <v>0</v>
      </c>
      <c r="G251" s="924"/>
      <c r="H251" s="928" t="s">
        <v>831</v>
      </c>
      <c r="I251" s="923"/>
      <c r="J251" s="198" t="str">
        <f>IF(LEN(F251)&gt;0,"","Belum Terisi")</f>
        <v/>
      </c>
      <c r="K251" s="31"/>
      <c r="L251" s="31"/>
      <c r="M251" s="21" t="s">
        <v>667</v>
      </c>
      <c r="N251" s="21"/>
      <c r="O251" s="21"/>
      <c r="P251" s="21"/>
      <c r="Q251" s="21"/>
      <c r="R251" s="21"/>
      <c r="S251" s="21"/>
      <c r="T251" s="21"/>
      <c r="U251" s="21"/>
      <c r="V251" s="21"/>
    </row>
    <row r="252" spans="1:22" s="2" customFormat="1" ht="40.15" customHeight="1" x14ac:dyDescent="0.25">
      <c r="A252" s="577"/>
      <c r="B252" s="258" t="s">
        <v>139</v>
      </c>
      <c r="C252" s="255" t="s">
        <v>2626</v>
      </c>
      <c r="D252" s="100">
        <f>D251+1</f>
        <v>205</v>
      </c>
      <c r="E252" s="455" t="s">
        <v>174</v>
      </c>
      <c r="F252" s="772" t="s">
        <v>240</v>
      </c>
      <c r="G252" s="924"/>
      <c r="H252" s="925"/>
      <c r="I252" s="923"/>
      <c r="J252" s="198" t="str">
        <f>IF(LEN(F252)&gt;0,"","Belum Terisi")</f>
        <v/>
      </c>
      <c r="K252" s="31"/>
      <c r="L252" s="43"/>
      <c r="M252" s="21" t="s">
        <v>667</v>
      </c>
      <c r="N252" s="21"/>
      <c r="O252" s="21"/>
      <c r="P252" s="21"/>
      <c r="Q252" s="21"/>
      <c r="R252" s="21"/>
      <c r="S252" s="21"/>
      <c r="T252" s="21"/>
      <c r="U252" s="21"/>
      <c r="V252" s="21"/>
    </row>
    <row r="253" spans="1:22" s="2" customFormat="1" ht="30" customHeight="1" x14ac:dyDescent="0.25">
      <c r="A253" s="578"/>
      <c r="B253" s="258" t="s">
        <v>251</v>
      </c>
      <c r="C253" s="255" t="s">
        <v>2625</v>
      </c>
      <c r="D253" s="100">
        <f>D252+1</f>
        <v>206</v>
      </c>
      <c r="E253" s="427" t="s">
        <v>171</v>
      </c>
      <c r="F253" s="807" t="s">
        <v>263</v>
      </c>
      <c r="G253" s="924"/>
      <c r="H253" s="925"/>
      <c r="I253" s="923" t="s">
        <v>255</v>
      </c>
      <c r="J253" s="198" t="str">
        <f>IF(F253="","Belum Terisi",IF(AND(F251&lt;&gt;0,F253="Tidak Ada"),"CEK",IF(AND(F251=0,F253&lt;&gt;"Tidak Ada"),"CEK","")))</f>
        <v/>
      </c>
      <c r="K253" s="31" t="str">
        <f>IF(AND(J253="CEK",F251&lt;&gt;0,F253="Tidak Ada"),"Terdapat Failitas Kesehatan di Desa",IF(AND(J253="CEK",F251=0,F253&lt;&gt;"Tidak Ada"),"Tidak Terdapat Fasilitas Kesehatan di Desa",""))</f>
        <v/>
      </c>
      <c r="L253" s="43"/>
      <c r="M253" s="21" t="s">
        <v>667</v>
      </c>
      <c r="N253" s="21"/>
      <c r="O253" s="21"/>
      <c r="P253" s="21"/>
      <c r="Q253" s="21"/>
      <c r="R253" s="21"/>
      <c r="S253" s="21"/>
      <c r="T253" s="21"/>
      <c r="U253" s="21"/>
      <c r="V253" s="21"/>
    </row>
    <row r="254" spans="1:22" s="2" customFormat="1" ht="30" customHeight="1" x14ac:dyDescent="0.25">
      <c r="A254" s="570" t="s">
        <v>149</v>
      </c>
      <c r="B254" s="259"/>
      <c r="C254" s="253"/>
      <c r="D254" s="441"/>
      <c r="E254" s="429"/>
      <c r="F254" s="714"/>
      <c r="G254" s="924"/>
      <c r="H254" s="925"/>
      <c r="I254" s="923"/>
      <c r="J254" s="98"/>
      <c r="K254" s="31"/>
      <c r="L254" s="43"/>
      <c r="M254" s="21" t="s">
        <v>667</v>
      </c>
      <c r="N254" s="21"/>
      <c r="O254" s="21"/>
      <c r="P254" s="21"/>
      <c r="Q254" s="21"/>
      <c r="R254" s="21"/>
      <c r="S254" s="21"/>
      <c r="T254" s="21"/>
      <c r="U254" s="21"/>
      <c r="V254" s="21"/>
    </row>
    <row r="255" spans="1:22" s="2" customFormat="1" ht="30" customHeight="1" x14ac:dyDescent="0.25">
      <c r="A255" s="580" t="str">
        <f>"B "&amp;(RIGHT(A251,3)+1)</f>
        <v>B 207</v>
      </c>
      <c r="B255" s="259"/>
      <c r="C255" s="255" t="s">
        <v>2696</v>
      </c>
      <c r="D255" s="100">
        <f>D253+1</f>
        <v>207</v>
      </c>
      <c r="E255" s="436" t="s">
        <v>171</v>
      </c>
      <c r="F255" s="686">
        <v>1</v>
      </c>
      <c r="G255" s="927" t="s">
        <v>596</v>
      </c>
      <c r="H255" s="925"/>
      <c r="I255" s="923"/>
      <c r="J255" s="198" t="str">
        <f>IF(F255="","Belum Terisi",IF(OR(F255=1,F255=5),"","CEK"))</f>
        <v/>
      </c>
      <c r="K255" s="31" t="str">
        <f t="shared" ref="K255" si="37">IF(J255="CEK","Inputan Tidak Sesuai","")</f>
        <v/>
      </c>
      <c r="L255" s="31"/>
      <c r="M255" s="21" t="s">
        <v>667</v>
      </c>
      <c r="N255" s="847" t="s">
        <v>668</v>
      </c>
      <c r="O255" s="21"/>
      <c r="P255" s="21"/>
      <c r="Q255" s="21"/>
      <c r="R255" s="21"/>
      <c r="S255" s="21"/>
      <c r="T255" s="21"/>
      <c r="U255" s="21"/>
      <c r="V255" s="21"/>
    </row>
    <row r="256" spans="1:22" s="2" customFormat="1" ht="30" customHeight="1" x14ac:dyDescent="0.25">
      <c r="A256" s="583" t="str">
        <f>"B "&amp;(RIGHT(A255,3)+1)</f>
        <v>B 208</v>
      </c>
      <c r="B256" s="266"/>
      <c r="C256" s="260" t="s">
        <v>280</v>
      </c>
      <c r="D256" s="443"/>
      <c r="E256" s="436"/>
      <c r="F256" s="704"/>
      <c r="G256" s="927"/>
      <c r="H256" s="923">
        <v>1</v>
      </c>
      <c r="I256" s="923"/>
      <c r="J256" s="198"/>
      <c r="K256" s="31"/>
      <c r="L256" s="43"/>
      <c r="M256" s="21" t="s">
        <v>667</v>
      </c>
      <c r="N256" s="21"/>
      <c r="O256" s="21"/>
      <c r="P256" s="21"/>
      <c r="Q256" s="21"/>
      <c r="R256" s="21"/>
      <c r="S256" s="21"/>
      <c r="T256" s="21"/>
      <c r="U256" s="21"/>
      <c r="V256" s="21"/>
    </row>
    <row r="257" spans="1:22" s="2" customFormat="1" ht="30" customHeight="1" x14ac:dyDescent="0.25">
      <c r="A257" s="577"/>
      <c r="B257" s="258" t="s">
        <v>41</v>
      </c>
      <c r="C257" s="260" t="s">
        <v>52</v>
      </c>
      <c r="D257" s="434">
        <f>D255+1</f>
        <v>208</v>
      </c>
      <c r="E257" s="436" t="s">
        <v>171</v>
      </c>
      <c r="F257" s="728" t="s">
        <v>263</v>
      </c>
      <c r="G257" s="927"/>
      <c r="H257" s="923">
        <v>5</v>
      </c>
      <c r="I257" s="923"/>
      <c r="J257" s="198" t="str">
        <f>IF(F257="","Belum Terisi",IF(AND(F257="Ada",$F$255=1),"CEK",""))</f>
        <v/>
      </c>
      <c r="K257" s="31" t="str">
        <f>IF(J257="CEK","Tidak Tersedia Layanan Dokter di Desa","")</f>
        <v/>
      </c>
      <c r="L257" s="43"/>
      <c r="M257" s="21" t="s">
        <v>667</v>
      </c>
      <c r="N257" s="21"/>
      <c r="O257" s="21"/>
      <c r="P257" s="21"/>
      <c r="Q257" s="21"/>
      <c r="R257" s="21"/>
      <c r="S257" s="21"/>
      <c r="T257" s="21"/>
      <c r="U257" s="21"/>
      <c r="V257" s="21"/>
    </row>
    <row r="258" spans="1:22" s="2" customFormat="1" ht="30" customHeight="1" x14ac:dyDescent="0.25">
      <c r="A258" s="584"/>
      <c r="B258" s="258" t="s">
        <v>139</v>
      </c>
      <c r="C258" s="260" t="s">
        <v>1303</v>
      </c>
      <c r="D258" s="434">
        <f t="shared" ref="D258:D265" si="38">D257+1</f>
        <v>209</v>
      </c>
      <c r="E258" s="436" t="s">
        <v>171</v>
      </c>
      <c r="F258" s="728" t="s">
        <v>263</v>
      </c>
      <c r="G258" s="927"/>
      <c r="H258" s="934"/>
      <c r="I258" s="923"/>
      <c r="J258" s="198" t="str">
        <f>IF(F258="","Belum Terisi",IF(AND(F258="Ada",$F$255=1),"CEK",""))</f>
        <v/>
      </c>
      <c r="K258" s="31" t="str">
        <f>IF(J258="CEK","Tidak Tersedia Layanan Dokter di Desa","")</f>
        <v/>
      </c>
      <c r="L258" s="31"/>
      <c r="M258" s="21" t="s">
        <v>667</v>
      </c>
      <c r="N258" s="21"/>
      <c r="O258" s="21"/>
      <c r="P258" s="21"/>
      <c r="Q258" s="21"/>
      <c r="R258" s="21"/>
      <c r="S258" s="21"/>
      <c r="T258" s="21"/>
      <c r="U258" s="21"/>
      <c r="V258" s="21"/>
    </row>
    <row r="259" spans="1:22" s="2" customFormat="1" ht="30" customHeight="1" x14ac:dyDescent="0.25">
      <c r="A259" s="584"/>
      <c r="B259" s="258" t="s">
        <v>251</v>
      </c>
      <c r="C259" s="260" t="s">
        <v>1304</v>
      </c>
      <c r="D259" s="434">
        <f t="shared" si="38"/>
        <v>210</v>
      </c>
      <c r="E259" s="436" t="s">
        <v>171</v>
      </c>
      <c r="F259" s="728" t="s">
        <v>263</v>
      </c>
      <c r="G259" s="927"/>
      <c r="H259" s="928"/>
      <c r="I259" s="923"/>
      <c r="J259" s="198" t="str">
        <f>IF(F259="","Belum Terisi",IF(AND(F259="Ada",$F$255=1),"CEK",""))</f>
        <v/>
      </c>
      <c r="K259" s="31" t="str">
        <f>IF(J259="CEK","Tidak Tersedia Layanan Dokter di Desa","")</f>
        <v/>
      </c>
      <c r="L259" s="43"/>
      <c r="M259" s="21" t="s">
        <v>667</v>
      </c>
      <c r="N259" s="21"/>
      <c r="O259" s="21"/>
      <c r="P259" s="21"/>
      <c r="Q259" s="21"/>
      <c r="R259" s="21"/>
      <c r="S259" s="21"/>
      <c r="T259" s="21"/>
      <c r="U259" s="21"/>
      <c r="V259" s="21"/>
    </row>
    <row r="260" spans="1:22" s="2" customFormat="1" ht="30" customHeight="1" x14ac:dyDescent="0.25">
      <c r="A260" s="584"/>
      <c r="B260" s="258" t="s">
        <v>255</v>
      </c>
      <c r="C260" s="260" t="s">
        <v>1305</v>
      </c>
      <c r="D260" s="434">
        <f t="shared" si="38"/>
        <v>211</v>
      </c>
      <c r="E260" s="436" t="s">
        <v>171</v>
      </c>
      <c r="F260" s="728" t="s">
        <v>263</v>
      </c>
      <c r="G260" s="927"/>
      <c r="H260" s="923">
        <v>1</v>
      </c>
      <c r="I260" s="923"/>
      <c r="J260" s="198" t="str">
        <f>IF(F260="","Belum Terisi",IF(AND(F260="Ada",$F$255=1),"CEK",""))</f>
        <v/>
      </c>
      <c r="K260" s="31" t="str">
        <f>IF(J260="CEK","Tidak Tersedia Layanan Dokter di Desa","")</f>
        <v/>
      </c>
      <c r="L260" s="43"/>
      <c r="M260" s="21" t="s">
        <v>667</v>
      </c>
      <c r="N260" s="21"/>
      <c r="O260" s="21"/>
      <c r="P260" s="21"/>
      <c r="Q260" s="21"/>
      <c r="R260" s="21"/>
      <c r="S260" s="21"/>
      <c r="T260" s="21"/>
      <c r="U260" s="21"/>
      <c r="V260" s="21"/>
    </row>
    <row r="261" spans="1:22" s="2" customFormat="1" ht="30" customHeight="1" x14ac:dyDescent="0.25">
      <c r="A261" s="585"/>
      <c r="B261" s="258" t="s">
        <v>252</v>
      </c>
      <c r="C261" s="260" t="s">
        <v>57</v>
      </c>
      <c r="D261" s="434">
        <f t="shared" si="38"/>
        <v>212</v>
      </c>
      <c r="E261" s="436" t="s">
        <v>171</v>
      </c>
      <c r="F261" s="728" t="s">
        <v>263</v>
      </c>
      <c r="G261" s="927"/>
      <c r="H261" s="923">
        <v>3</v>
      </c>
      <c r="I261" s="923"/>
      <c r="J261" s="198" t="str">
        <f>IF(F261="","Belum Terisi",IF(AND(F261="Ada",$F$255=1),"CEK",""))</f>
        <v/>
      </c>
      <c r="K261" s="31" t="str">
        <f>IF(J261="CEK","Tidak Tersedia Layanan Dokter di Desa","")</f>
        <v/>
      </c>
      <c r="L261" s="43"/>
      <c r="M261" s="21" t="s">
        <v>667</v>
      </c>
      <c r="N261" s="21"/>
      <c r="O261" s="21"/>
      <c r="P261" s="21"/>
      <c r="Q261" s="21"/>
      <c r="R261" s="21"/>
      <c r="S261" s="21"/>
      <c r="T261" s="21"/>
      <c r="U261" s="21"/>
      <c r="V261" s="21"/>
    </row>
    <row r="262" spans="1:22" s="2" customFormat="1" ht="30" customHeight="1" x14ac:dyDescent="0.25">
      <c r="A262" s="586" t="str">
        <f>"B "&amp;(RIGHT(A256,3)+1)</f>
        <v>B 209</v>
      </c>
      <c r="B262" s="267" t="s">
        <v>41</v>
      </c>
      <c r="C262" s="260" t="s">
        <v>281</v>
      </c>
      <c r="D262" s="434">
        <f t="shared" si="38"/>
        <v>213</v>
      </c>
      <c r="E262" s="471" t="s">
        <v>62</v>
      </c>
      <c r="F262" s="686">
        <v>0</v>
      </c>
      <c r="G262" s="927"/>
      <c r="H262" s="923">
        <v>5</v>
      </c>
      <c r="I262" s="923"/>
      <c r="J262" s="198" t="str">
        <f>IF(F262="","Belum Terisi",IF(AND($F$255=5,F262=0),"CEK",IF(AND($F$255=1,F262&lt;&gt;0),"CEK","")))</f>
        <v/>
      </c>
      <c r="K262" s="31" t="str">
        <f>IF(AND(J262="CEK",$F$255=5,F262=0),"Terdapat Layanan Dokter di Desa",IF(AND(J262="CEK",$F$255=1,F262&lt;&gt;0),"Tidak Terdapat Layanan Dokter di Desa",""))</f>
        <v/>
      </c>
      <c r="L262" s="31"/>
      <c r="M262" s="21" t="s">
        <v>667</v>
      </c>
      <c r="N262" s="21"/>
      <c r="O262" s="21"/>
      <c r="P262" s="21"/>
      <c r="Q262" s="21"/>
      <c r="R262" s="21"/>
      <c r="S262" s="21"/>
      <c r="T262" s="21"/>
      <c r="U262" s="21"/>
      <c r="V262" s="21"/>
    </row>
    <row r="263" spans="1:22" s="2" customFormat="1" ht="30" customHeight="1" x14ac:dyDescent="0.25">
      <c r="A263" s="587"/>
      <c r="B263" s="267" t="s">
        <v>139</v>
      </c>
      <c r="C263" s="260" t="s">
        <v>282</v>
      </c>
      <c r="D263" s="434">
        <f t="shared" si="38"/>
        <v>214</v>
      </c>
      <c r="E263" s="436" t="s">
        <v>171</v>
      </c>
      <c r="F263" s="686">
        <v>1</v>
      </c>
      <c r="G263" s="927" t="s">
        <v>596</v>
      </c>
      <c r="H263" s="928" t="s">
        <v>285</v>
      </c>
      <c r="I263" s="923"/>
      <c r="J263" s="198" t="str">
        <f>IF(F263="","Belum Terisi",IF(AND($F$255=1,F263&lt;&gt;1),"CEK",IF(OR(F263=1,F263=3,F263=5),"","CEK")))</f>
        <v/>
      </c>
      <c r="K263" s="31" t="str">
        <f>IF(AND(J263="CEK",$F$255=5,F263=1),"Terdapat Layanan Dokter di Desa",IF(AND(J263="CEK",$F$255=1,F263&lt;&gt;1),"Tidak Terdapat Layanan Dokter di Desa",""))</f>
        <v/>
      </c>
      <c r="L263" s="43"/>
      <c r="M263" s="21" t="s">
        <v>667</v>
      </c>
      <c r="N263" s="21"/>
      <c r="O263" s="21"/>
      <c r="P263" s="21"/>
      <c r="Q263" s="21"/>
      <c r="R263" s="21"/>
      <c r="S263" s="21"/>
      <c r="T263" s="21"/>
      <c r="U263" s="21"/>
      <c r="V263" s="21"/>
    </row>
    <row r="264" spans="1:22" s="2" customFormat="1" ht="30" customHeight="1" x14ac:dyDescent="0.25">
      <c r="A264" s="587"/>
      <c r="B264" s="267" t="s">
        <v>251</v>
      </c>
      <c r="C264" s="260" t="s">
        <v>283</v>
      </c>
      <c r="D264" s="434">
        <f t="shared" si="38"/>
        <v>215</v>
      </c>
      <c r="E264" s="436" t="s">
        <v>171</v>
      </c>
      <c r="F264" s="686">
        <v>1</v>
      </c>
      <c r="G264" s="927" t="s">
        <v>596</v>
      </c>
      <c r="H264" s="928" t="s">
        <v>263</v>
      </c>
      <c r="I264" s="923"/>
      <c r="J264" s="198" t="str">
        <f>IF(F264="","Belum Terisi",IF(AND($F$255=5,F264=1),"CEK",IF(AND($F$255=1,F264&lt;&gt;1),"CEK",IF(OR(F264=1,F264=3,F264=5),"","CEK"))))</f>
        <v/>
      </c>
      <c r="K264" s="31" t="str">
        <f>IF(AND(J264="CEK",$F$255=5,F264=1),"Terdapat Layanan Dokter di Desa",IF(AND(J264="CEK",$F$255=1,F264&lt;&gt;1),"Tidak Terdapat Layanan Dokter di Desa",""))</f>
        <v/>
      </c>
      <c r="L264" s="43"/>
      <c r="M264" s="21" t="s">
        <v>667</v>
      </c>
      <c r="N264" s="21"/>
      <c r="O264" s="21"/>
      <c r="P264" s="21"/>
      <c r="Q264" s="21"/>
      <c r="R264" s="21"/>
      <c r="S264" s="21"/>
      <c r="T264" s="21"/>
      <c r="U264" s="21"/>
      <c r="V264" s="21"/>
    </row>
    <row r="265" spans="1:22" s="2" customFormat="1" ht="30" customHeight="1" x14ac:dyDescent="0.25">
      <c r="A265" s="588"/>
      <c r="B265" s="267" t="s">
        <v>255</v>
      </c>
      <c r="C265" s="260" t="s">
        <v>2627</v>
      </c>
      <c r="D265" s="434">
        <f t="shared" si="38"/>
        <v>216</v>
      </c>
      <c r="E265" s="436" t="s">
        <v>171</v>
      </c>
      <c r="F265" s="686">
        <v>1</v>
      </c>
      <c r="G265" s="927" t="s">
        <v>596</v>
      </c>
      <c r="H265" s="925"/>
      <c r="I265" s="923"/>
      <c r="J265" s="198" t="str">
        <f>IF(F265="","Belum Terisi",IF(AND($F$255=1,F265&lt;&gt;1),"CEK",IF(OR(F255=1,F255=5),"","CEK")))</f>
        <v/>
      </c>
      <c r="K265" s="31" t="str">
        <f>IF(AND(J265="CEK",$F$255=5,F265=1),"Terdapat Layanan Dokter di Desa",IF(AND(J265="CEK",$F$255=1,F265&lt;&gt;1),"Tidak Terdapat Layanan Dokter di Desa",""))</f>
        <v/>
      </c>
      <c r="L265" s="43"/>
      <c r="M265" s="21" t="s">
        <v>667</v>
      </c>
      <c r="N265" s="847" t="s">
        <v>668</v>
      </c>
      <c r="O265" s="21"/>
      <c r="P265" s="21"/>
      <c r="Q265" s="21"/>
      <c r="R265" s="21"/>
      <c r="S265" s="21"/>
      <c r="T265" s="21"/>
      <c r="U265" s="21"/>
      <c r="V265" s="21"/>
    </row>
    <row r="266" spans="1:22" s="2" customFormat="1" ht="40.15" customHeight="1" x14ac:dyDescent="0.25">
      <c r="A266" s="583" t="str">
        <f>"B "&amp;(RIGHT(A262,3)+1)</f>
        <v>B 210</v>
      </c>
      <c r="B266" s="268"/>
      <c r="C266" s="260" t="s">
        <v>284</v>
      </c>
      <c r="D266" s="430"/>
      <c r="E266" s="436"/>
      <c r="F266" s="704"/>
      <c r="G266" s="924"/>
      <c r="H266" s="925"/>
      <c r="I266" s="923"/>
      <c r="J266" s="98"/>
      <c r="K266" s="31"/>
      <c r="L266" s="31"/>
      <c r="M266" s="21" t="s">
        <v>667</v>
      </c>
      <c r="N266" s="847"/>
      <c r="O266" s="21"/>
      <c r="P266" s="21"/>
      <c r="Q266" s="21"/>
      <c r="R266" s="21"/>
      <c r="S266" s="21"/>
      <c r="T266" s="21"/>
      <c r="U266" s="21"/>
      <c r="V266" s="21"/>
    </row>
    <row r="267" spans="1:22" s="2" customFormat="1" ht="30" customHeight="1" x14ac:dyDescent="0.25">
      <c r="A267" s="587"/>
      <c r="B267" s="267" t="s">
        <v>41</v>
      </c>
      <c r="C267" s="260" t="s">
        <v>1295</v>
      </c>
      <c r="D267" s="434">
        <f>D265+1</f>
        <v>217</v>
      </c>
      <c r="E267" s="436" t="s">
        <v>171</v>
      </c>
      <c r="F267" s="805" t="s">
        <v>263</v>
      </c>
      <c r="G267" s="927"/>
      <c r="H267" s="925"/>
      <c r="I267" s="923"/>
      <c r="J267" s="198" t="str">
        <f>IF(F267="","Belum Terisi",IF(AND($F$265=1,F267="Ada"),"CEK",IF(AND($F$265=5,COUNTIF($F$267:$F$270,"Tidak Ada")=4,$F$271="-"),"CEK","")))</f>
        <v/>
      </c>
      <c r="K267" s="31" t="str">
        <f>IF(AND(J267="CEK",$F$265=5),"Ada Penyedia Transportasi Penunjang Menuju Layanan Dokter di Desa",IF(AND(J267="CEK",$F$265=1),"Tidak Ada Penyedia Transportasi Penunjang Menuju Layanan Dokter di Desa",""))</f>
        <v/>
      </c>
      <c r="L267" s="43"/>
      <c r="M267" s="21" t="s">
        <v>667</v>
      </c>
      <c r="N267" s="21" t="s">
        <v>668</v>
      </c>
      <c r="O267" s="21"/>
      <c r="P267" s="21"/>
      <c r="Q267" s="21"/>
      <c r="R267" s="21"/>
      <c r="S267" s="21"/>
      <c r="T267" s="21"/>
      <c r="U267" s="21"/>
      <c r="V267" s="21"/>
    </row>
    <row r="268" spans="1:22" s="2" customFormat="1" ht="30" customHeight="1" x14ac:dyDescent="0.25">
      <c r="A268" s="587"/>
      <c r="B268" s="267" t="s">
        <v>139</v>
      </c>
      <c r="C268" s="260" t="s">
        <v>1296</v>
      </c>
      <c r="D268" s="434">
        <f>D267+1</f>
        <v>218</v>
      </c>
      <c r="E268" s="436" t="s">
        <v>171</v>
      </c>
      <c r="F268" s="772" t="s">
        <v>263</v>
      </c>
      <c r="G268" s="927"/>
      <c r="H268" s="926" t="s">
        <v>2679</v>
      </c>
      <c r="I268" s="923"/>
      <c r="J268" s="198" t="str">
        <f>IF(F268="","Belum Terisi",IF(AND($F$265=1,F268="Ada"),"CEK",IF(AND($F$265=5,COUNTIF($F$267:$F$270,"Tidak Ada")=4,$F$271="-"),"CEK","")))</f>
        <v/>
      </c>
      <c r="K268" s="31" t="str">
        <f>IF(AND(J268="CEK",$F$265=5),"Ada Penyedia Transportasi Penunjang Menuju Layanan Dokter di Desa",IF(AND(J268="CEK",$F$265=1),"Tidak Ada Penyedia Transportasi Penunjang Menuju Layanan Dokter di Desa",""))</f>
        <v/>
      </c>
      <c r="L268" s="43"/>
      <c r="M268" s="21" t="s">
        <v>667</v>
      </c>
      <c r="N268" s="21" t="s">
        <v>668</v>
      </c>
      <c r="O268" s="21"/>
      <c r="P268" s="21"/>
      <c r="Q268" s="21"/>
      <c r="R268" s="21"/>
      <c r="S268" s="21"/>
      <c r="T268" s="21"/>
      <c r="U268" s="21"/>
      <c r="V268" s="21"/>
    </row>
    <row r="269" spans="1:22" s="2" customFormat="1" ht="30" customHeight="1" x14ac:dyDescent="0.25">
      <c r="A269" s="587"/>
      <c r="B269" s="267" t="s">
        <v>251</v>
      </c>
      <c r="C269" s="260" t="s">
        <v>1297</v>
      </c>
      <c r="D269" s="434">
        <f>D268+1</f>
        <v>219</v>
      </c>
      <c r="E269" s="436" t="s">
        <v>171</v>
      </c>
      <c r="F269" s="772" t="s">
        <v>263</v>
      </c>
      <c r="G269" s="927"/>
      <c r="H269" s="922" t="s">
        <v>563</v>
      </c>
      <c r="I269" s="923"/>
      <c r="J269" s="198" t="str">
        <f>IF(F269="","Belum Terisi",IF(AND($F$265=1,F269="Ada"),"CEK",IF(AND($F$265=5,COUNTIF($F$267:$F$270,"Tidak Ada")=4,$F$271="-"),"CEK","")))</f>
        <v/>
      </c>
      <c r="K269" s="31" t="str">
        <f>IF(AND(J269="CEK",$F$265=5),"Ada Penyedia Transportasi Penunjang Menuju Layanan Dokter di Desa",IF(AND(J269="CEK",$F$265=1),"Tidak Ada Penyedia Transportasi Penunjang Menuju Layanan Dokter di Desa",""))</f>
        <v/>
      </c>
      <c r="L269" s="43"/>
      <c r="M269" s="21" t="s">
        <v>667</v>
      </c>
      <c r="N269" s="21" t="s">
        <v>668</v>
      </c>
      <c r="O269" s="21"/>
      <c r="P269" s="21"/>
      <c r="Q269" s="21"/>
      <c r="R269" s="21"/>
      <c r="S269" s="21"/>
      <c r="T269" s="21"/>
      <c r="U269" s="21"/>
      <c r="V269" s="21"/>
    </row>
    <row r="270" spans="1:22" s="2" customFormat="1" ht="30" customHeight="1" x14ac:dyDescent="0.25">
      <c r="A270" s="587"/>
      <c r="B270" s="267" t="s">
        <v>255</v>
      </c>
      <c r="C270" s="260" t="s">
        <v>1298</v>
      </c>
      <c r="D270" s="434">
        <f>D269+1</f>
        <v>220</v>
      </c>
      <c r="E270" s="436" t="s">
        <v>171</v>
      </c>
      <c r="F270" s="772" t="s">
        <v>263</v>
      </c>
      <c r="G270" s="927"/>
      <c r="H270" s="922" t="s">
        <v>832</v>
      </c>
      <c r="I270" s="923"/>
      <c r="J270" s="198" t="str">
        <f>IF(F270="","Belum Terisi",IF(AND($F$265=1,F270="Ada"),"CEK",IF(AND($F$265=5,COUNTIF($F$267:$F$270,"Tidak Ada")=4,$F$271="-"),"CEK","")))</f>
        <v/>
      </c>
      <c r="K270" s="31" t="str">
        <f>IF(AND(J270="CEK",$F$265=5),"Ada Penyedia Transportasi Penunjang Menuju Layanan Dokter di Desa",IF(AND(J270="CEK",$F$265=1),"Tidak Ada Penyedia Transportasi Penunjang Menuju Layanan Dokter di Desa",""))</f>
        <v/>
      </c>
      <c r="L270" s="31"/>
      <c r="M270" s="21" t="s">
        <v>667</v>
      </c>
      <c r="N270" s="21" t="s">
        <v>668</v>
      </c>
      <c r="O270" s="21"/>
      <c r="P270" s="21"/>
      <c r="Q270" s="21"/>
      <c r="R270" s="21"/>
      <c r="S270" s="21"/>
      <c r="T270" s="21"/>
      <c r="U270" s="21"/>
      <c r="V270" s="21"/>
    </row>
    <row r="271" spans="1:22" s="2" customFormat="1" ht="30" customHeight="1" x14ac:dyDescent="0.25">
      <c r="A271" s="588"/>
      <c r="B271" s="267" t="s">
        <v>252</v>
      </c>
      <c r="C271" s="260" t="s">
        <v>1307</v>
      </c>
      <c r="D271" s="434">
        <f>D270+1</f>
        <v>221</v>
      </c>
      <c r="E271" s="436" t="s">
        <v>174</v>
      </c>
      <c r="F271" s="707" t="s">
        <v>263</v>
      </c>
      <c r="G271" s="924"/>
      <c r="H271" s="922" t="s">
        <v>167</v>
      </c>
      <c r="I271" s="923"/>
      <c r="J271" s="198" t="str">
        <f>IF(F271="","Belum Terisi",IF(AND($F$265=1,F271="Ada"),"CEK",IF(AND($F$265=5,COUNTIF($F$267:$F$270,"Tidak Ada")=4,$F$271="-"),"CEK","")))</f>
        <v/>
      </c>
      <c r="K271" s="31" t="str">
        <f>IF(AND(J271="CEK",$F$265=5),"Ada Penyedia Transportasi Penunjang Menuju Layanan Dokter di Desa",IF(AND(J271="CEK",$F$265=1),"Tidak Ada Penyedia Transportasi Penunjang Menuju Layanan Dokter di Desa",""))</f>
        <v/>
      </c>
      <c r="L271" s="43"/>
      <c r="M271" s="21" t="s">
        <v>667</v>
      </c>
      <c r="N271" s="21" t="s">
        <v>668</v>
      </c>
      <c r="O271" s="21"/>
      <c r="P271" s="21"/>
      <c r="Q271" s="21"/>
      <c r="R271" s="21"/>
      <c r="S271" s="21"/>
      <c r="T271" s="21"/>
      <c r="U271" s="21"/>
      <c r="V271" s="21"/>
    </row>
    <row r="272" spans="1:22" s="2" customFormat="1" ht="30" customHeight="1" x14ac:dyDescent="0.25">
      <c r="A272" s="570" t="s">
        <v>635</v>
      </c>
      <c r="B272" s="269"/>
      <c r="C272" s="253"/>
      <c r="D272" s="441"/>
      <c r="E272" s="429"/>
      <c r="F272" s="714"/>
      <c r="G272" s="924"/>
      <c r="H272" s="922" t="s">
        <v>819</v>
      </c>
      <c r="I272" s="923"/>
      <c r="J272" s="98"/>
      <c r="K272" s="31"/>
      <c r="L272" s="43"/>
      <c r="M272" s="21" t="s">
        <v>667</v>
      </c>
      <c r="N272" s="21"/>
      <c r="O272" s="21"/>
      <c r="P272" s="21"/>
      <c r="Q272" s="21"/>
      <c r="R272" s="21"/>
      <c r="S272" s="21"/>
      <c r="T272" s="21"/>
      <c r="U272" s="21"/>
      <c r="V272" s="21"/>
    </row>
    <row r="273" spans="1:22" s="2" customFormat="1" ht="30" customHeight="1" x14ac:dyDescent="0.25">
      <c r="A273" s="580" t="str">
        <f>"B "&amp;(RIGHT(A266,3)+1)</f>
        <v>B 211</v>
      </c>
      <c r="B273" s="259"/>
      <c r="C273" s="255" t="s">
        <v>1308</v>
      </c>
      <c r="D273" s="434">
        <f>D271+1</f>
        <v>222</v>
      </c>
      <c r="E273" s="436" t="s">
        <v>171</v>
      </c>
      <c r="F273" s="686">
        <v>5</v>
      </c>
      <c r="G273" s="927" t="s">
        <v>597</v>
      </c>
      <c r="H273" s="922" t="s">
        <v>556</v>
      </c>
      <c r="I273" s="923"/>
      <c r="J273" s="198" t="str">
        <f>IF(F273="","Belum Terisi",IF(OR(F273=1,F273=5),"","CEK"))</f>
        <v/>
      </c>
      <c r="K273" s="31" t="str">
        <f t="shared" ref="K273" si="39">IF(J273="CEK","Inputan Tidak Sesuai","")</f>
        <v/>
      </c>
      <c r="L273" s="43"/>
      <c r="M273" s="21" t="s">
        <v>667</v>
      </c>
      <c r="N273" s="847" t="s">
        <v>668</v>
      </c>
      <c r="O273" s="21"/>
      <c r="P273" s="21"/>
      <c r="Q273" s="21"/>
      <c r="R273" s="21"/>
      <c r="S273" s="21"/>
      <c r="T273" s="21"/>
      <c r="U273" s="21"/>
      <c r="V273" s="21"/>
    </row>
    <row r="274" spans="1:22" s="2" customFormat="1" ht="30" customHeight="1" x14ac:dyDescent="0.25">
      <c r="A274" s="583" t="str">
        <f>"B "&amp;(RIGHT(A273,3)+1)</f>
        <v>B 212</v>
      </c>
      <c r="B274" s="266"/>
      <c r="C274" s="260" t="s">
        <v>699</v>
      </c>
      <c r="D274" s="430"/>
      <c r="E274" s="429"/>
      <c r="F274" s="714"/>
      <c r="G274" s="927"/>
      <c r="H274" s="928"/>
      <c r="I274" s="923"/>
      <c r="J274" s="198"/>
      <c r="K274" s="31"/>
      <c r="L274" s="43"/>
      <c r="M274" s="21" t="s">
        <v>667</v>
      </c>
      <c r="N274" s="21"/>
      <c r="O274" s="21"/>
      <c r="P274" s="21"/>
      <c r="Q274" s="21"/>
      <c r="R274" s="21"/>
      <c r="S274" s="21"/>
      <c r="T274" s="21"/>
      <c r="U274" s="21"/>
      <c r="V274" s="21"/>
    </row>
    <row r="275" spans="1:22" s="2" customFormat="1" ht="30" customHeight="1" x14ac:dyDescent="0.25">
      <c r="A275" s="587"/>
      <c r="B275" s="258" t="s">
        <v>41</v>
      </c>
      <c r="C275" s="260" t="s">
        <v>52</v>
      </c>
      <c r="D275" s="434">
        <f>D273+1</f>
        <v>223</v>
      </c>
      <c r="E275" s="435" t="s">
        <v>171</v>
      </c>
      <c r="F275" s="805" t="s">
        <v>263</v>
      </c>
      <c r="G275" s="927"/>
      <c r="H275" s="922" t="s">
        <v>833</v>
      </c>
      <c r="I275" s="923"/>
      <c r="J275" s="198" t="str">
        <f>IF(F275="","Belum Terisi",IF(AND(F275="Ada",$F$273=1),"CEK",""))</f>
        <v/>
      </c>
      <c r="K275" s="31" t="str">
        <f>IF(J275="CEK","Tidak Tersedia Layanan Bidan di Desa","")</f>
        <v/>
      </c>
      <c r="L275" s="31"/>
      <c r="M275" s="21" t="s">
        <v>667</v>
      </c>
      <c r="N275" s="21"/>
      <c r="O275" s="21"/>
      <c r="P275" s="21"/>
      <c r="Q275" s="21"/>
      <c r="R275" s="21"/>
      <c r="S275" s="21"/>
      <c r="T275" s="21"/>
      <c r="U275" s="21"/>
      <c r="V275" s="21"/>
    </row>
    <row r="276" spans="1:22" s="2" customFormat="1" ht="30" customHeight="1" x14ac:dyDescent="0.25">
      <c r="A276" s="587"/>
      <c r="B276" s="258" t="s">
        <v>139</v>
      </c>
      <c r="C276" s="260" t="s">
        <v>1303</v>
      </c>
      <c r="D276" s="434">
        <f t="shared" ref="D276:D282" si="40">D275+1</f>
        <v>224</v>
      </c>
      <c r="E276" s="435" t="s">
        <v>171</v>
      </c>
      <c r="F276" s="772" t="s">
        <v>263</v>
      </c>
      <c r="G276" s="927"/>
      <c r="H276" s="923" t="s">
        <v>826</v>
      </c>
      <c r="I276" s="923"/>
      <c r="J276" s="198" t="str">
        <f>IF(F276="","Belum Terisi",IF(AND(F276="Ada",$F$273=1),"CEK",""))</f>
        <v/>
      </c>
      <c r="K276" s="31" t="str">
        <f>IF(J276="CEK","Tidak Tersedia Layanan Bidan di Desa","")</f>
        <v/>
      </c>
      <c r="L276" s="43"/>
      <c r="M276" s="21" t="s">
        <v>667</v>
      </c>
      <c r="N276" s="21"/>
      <c r="O276" s="21"/>
      <c r="P276" s="21"/>
      <c r="Q276" s="21"/>
      <c r="R276" s="21"/>
      <c r="S276" s="21"/>
      <c r="T276" s="21"/>
      <c r="U276" s="21"/>
      <c r="V276" s="21"/>
    </row>
    <row r="277" spans="1:22" s="2" customFormat="1" ht="30" customHeight="1" x14ac:dyDescent="0.25">
      <c r="A277" s="587"/>
      <c r="B277" s="258" t="s">
        <v>251</v>
      </c>
      <c r="C277" s="260" t="s">
        <v>1304</v>
      </c>
      <c r="D277" s="434">
        <f t="shared" si="40"/>
        <v>225</v>
      </c>
      <c r="E277" s="435" t="s">
        <v>171</v>
      </c>
      <c r="F277" s="772" t="s">
        <v>263</v>
      </c>
      <c r="G277" s="927"/>
      <c r="H277" s="928"/>
      <c r="I277" s="923"/>
      <c r="J277" s="198" t="str">
        <f>IF(F277="","Belum Terisi",IF(AND(F277="Ada",$F$273=1),"CEK",""))</f>
        <v/>
      </c>
      <c r="K277" s="31" t="str">
        <f>IF(J277="CEK","Tidak Tersedia Layanan Bidan di Desa","")</f>
        <v/>
      </c>
      <c r="L277" s="43"/>
      <c r="M277" s="21" t="s">
        <v>667</v>
      </c>
      <c r="N277" s="21"/>
      <c r="O277" s="21"/>
      <c r="P277" s="21"/>
      <c r="Q277" s="21"/>
      <c r="R277" s="21"/>
      <c r="S277" s="21"/>
      <c r="T277" s="21"/>
      <c r="U277" s="21"/>
      <c r="V277" s="21"/>
    </row>
    <row r="278" spans="1:22" s="2" customFormat="1" ht="30" customHeight="1" x14ac:dyDescent="0.25">
      <c r="A278" s="587"/>
      <c r="B278" s="258" t="s">
        <v>255</v>
      </c>
      <c r="C278" s="260" t="s">
        <v>1305</v>
      </c>
      <c r="D278" s="434">
        <f t="shared" si="40"/>
        <v>226</v>
      </c>
      <c r="E278" s="435" t="s">
        <v>171</v>
      </c>
      <c r="F278" s="772" t="s">
        <v>285</v>
      </c>
      <c r="G278" s="927"/>
      <c r="H278" s="928"/>
      <c r="I278" s="923"/>
      <c r="J278" s="198" t="str">
        <f>IF(F278="","Belum Terisi",IF(AND(F278="Ada",$F$273=1),"CEK",""))</f>
        <v/>
      </c>
      <c r="K278" s="31" t="str">
        <f>IF(J278="CEK","Tidak Tersedia Layanan Bidan di Desa","")</f>
        <v/>
      </c>
      <c r="L278" s="43"/>
      <c r="M278" s="21" t="s">
        <v>667</v>
      </c>
      <c r="N278" s="21"/>
      <c r="O278" s="21"/>
      <c r="P278" s="21"/>
      <c r="Q278" s="21"/>
      <c r="R278" s="21"/>
      <c r="S278" s="21"/>
      <c r="T278" s="21"/>
      <c r="U278" s="21"/>
      <c r="V278" s="21"/>
    </row>
    <row r="279" spans="1:22" s="2" customFormat="1" ht="30" customHeight="1" x14ac:dyDescent="0.25">
      <c r="A279" s="588"/>
      <c r="B279" s="258" t="s">
        <v>252</v>
      </c>
      <c r="C279" s="260" t="s">
        <v>57</v>
      </c>
      <c r="D279" s="434">
        <f t="shared" si="40"/>
        <v>227</v>
      </c>
      <c r="E279" s="435" t="s">
        <v>171</v>
      </c>
      <c r="F279" s="807" t="s">
        <v>263</v>
      </c>
      <c r="G279" s="927"/>
      <c r="H279" s="934" t="s">
        <v>153</v>
      </c>
      <c r="I279" s="923"/>
      <c r="J279" s="198" t="str">
        <f>IF(F279="","Belum Terisi",IF(AND(F279="Ada",$F$273=1),"CEK",""))</f>
        <v/>
      </c>
      <c r="K279" s="31" t="str">
        <f>IF(J279="CEK","Tidak Tersedia Layanan Bidan di Desa","")</f>
        <v/>
      </c>
      <c r="L279" s="31"/>
      <c r="M279" s="21" t="s">
        <v>667</v>
      </c>
      <c r="N279" s="21"/>
      <c r="O279" s="21"/>
      <c r="P279" s="21"/>
      <c r="Q279" s="21"/>
      <c r="R279" s="21"/>
      <c r="S279" s="21"/>
      <c r="T279" s="21"/>
      <c r="U279" s="21"/>
      <c r="V279" s="21"/>
    </row>
    <row r="280" spans="1:22" s="2" customFormat="1" ht="30" customHeight="1" x14ac:dyDescent="0.25">
      <c r="A280" s="580" t="str">
        <f>"B "&amp;(RIGHT(A274,3)+1)</f>
        <v>B 213</v>
      </c>
      <c r="B280" s="258" t="s">
        <v>41</v>
      </c>
      <c r="C280" s="260" t="s">
        <v>288</v>
      </c>
      <c r="D280" s="434">
        <f t="shared" si="40"/>
        <v>228</v>
      </c>
      <c r="E280" s="435" t="s">
        <v>171</v>
      </c>
      <c r="F280" s="705">
        <v>3</v>
      </c>
      <c r="G280" s="927" t="s">
        <v>597</v>
      </c>
      <c r="H280" s="928"/>
      <c r="I280" s="923"/>
      <c r="J280" s="198" t="str">
        <f>IF(F280="","Belum Terisi",IF(AND($F$273=1,F280&lt;&gt;1),"CEK",IF(OR(F280=1,F280=3,F280=5),"","CEK")))</f>
        <v/>
      </c>
      <c r="K280" s="31" t="str">
        <f>IF(AND(J280="CEK",$F$273=5,F280=1),"Terdapat Layanan Bidan di Desa",IF(AND(J280="CEK",$F$273=1,F280&lt;&gt;1),"Tidak Terdapat Layanan Bidan di Desa",""))</f>
        <v/>
      </c>
      <c r="L280" s="43"/>
      <c r="M280" s="21" t="s">
        <v>667</v>
      </c>
      <c r="N280" s="21"/>
      <c r="O280" s="21"/>
      <c r="P280" s="21"/>
      <c r="Q280" s="21"/>
      <c r="R280" s="21"/>
      <c r="S280" s="21"/>
      <c r="T280" s="21"/>
      <c r="U280" s="21"/>
      <c r="V280" s="21"/>
    </row>
    <row r="281" spans="1:22" s="2" customFormat="1" ht="30" customHeight="1" x14ac:dyDescent="0.25">
      <c r="A281" s="584"/>
      <c r="B281" s="258" t="s">
        <v>139</v>
      </c>
      <c r="C281" s="260" t="s">
        <v>289</v>
      </c>
      <c r="D281" s="434">
        <f t="shared" si="40"/>
        <v>229</v>
      </c>
      <c r="E281" s="435" t="s">
        <v>171</v>
      </c>
      <c r="F281" s="706">
        <v>5</v>
      </c>
      <c r="G281" s="927" t="s">
        <v>597</v>
      </c>
      <c r="H281" s="928"/>
      <c r="I281" s="923"/>
      <c r="J281" s="198" t="str">
        <f>IF(F281="","Belum Terisi",IF(AND($F$273=5,F281=1),"CEK",IF(AND($F$273=1,F281&lt;&gt;1),"CEK",IF(OR(F281=1,F281=3,F281=5),"","CEK"))))</f>
        <v/>
      </c>
      <c r="K281" s="31" t="str">
        <f>IF(AND(J281="CEK",$F$273=5,F281=1),"Terdapat Layanan Bidan di Desa",IF(AND(J281="CEK",$F$273=1,F281&lt;&gt;1),"Tidak Terdapat Layanan Bidan di Desa",""))</f>
        <v/>
      </c>
      <c r="L281" s="43"/>
      <c r="M281" s="21" t="s">
        <v>667</v>
      </c>
      <c r="N281" s="21"/>
      <c r="O281" s="21"/>
      <c r="P281" s="21"/>
      <c r="Q281" s="21"/>
      <c r="R281" s="21"/>
      <c r="S281" s="21"/>
      <c r="T281" s="21"/>
      <c r="U281" s="21"/>
      <c r="V281" s="21"/>
    </row>
    <row r="282" spans="1:22" s="2" customFormat="1" ht="30" customHeight="1" x14ac:dyDescent="0.25">
      <c r="A282" s="585"/>
      <c r="B282" s="258" t="s">
        <v>251</v>
      </c>
      <c r="C282" s="260" t="s">
        <v>290</v>
      </c>
      <c r="D282" s="434">
        <f t="shared" si="40"/>
        <v>230</v>
      </c>
      <c r="E282" s="435" t="s">
        <v>171</v>
      </c>
      <c r="F282" s="707">
        <v>1</v>
      </c>
      <c r="G282" s="927" t="s">
        <v>597</v>
      </c>
      <c r="H282" s="928"/>
      <c r="I282" s="923"/>
      <c r="J282" s="198" t="str">
        <f>IF(F282="","Belum Terisi",IF(AND($F$273=1,F282&lt;&gt;1),"CEK",""))</f>
        <v/>
      </c>
      <c r="K282" s="31" t="str">
        <f>IF(AND(J282="CEK",$F$273=5,F282=1),"Terdapat Layanan Bidan di Desa",IF(AND(J282="CEK",$F$273=1,F282&lt;&gt;1),"Tidak Terdapat Layanan Bidan di Desa",""))</f>
        <v/>
      </c>
      <c r="L282" s="43"/>
      <c r="M282" s="21" t="s">
        <v>667</v>
      </c>
      <c r="N282" s="21"/>
      <c r="O282" s="21"/>
      <c r="P282" s="21"/>
      <c r="Q282" s="21"/>
      <c r="R282" s="21"/>
      <c r="S282" s="21"/>
      <c r="T282" s="21"/>
      <c r="U282" s="21"/>
      <c r="V282" s="21"/>
    </row>
    <row r="283" spans="1:22" s="2" customFormat="1" ht="40.15" customHeight="1" x14ac:dyDescent="0.25">
      <c r="A283" s="583" t="str">
        <f>"B "&amp;(RIGHT(A280,3)+1)</f>
        <v>B 214</v>
      </c>
      <c r="B283" s="268"/>
      <c r="C283" s="260" t="s">
        <v>291</v>
      </c>
      <c r="D283" s="430"/>
      <c r="E283" s="472"/>
      <c r="F283" s="704"/>
      <c r="G283" s="924"/>
      <c r="H283" s="928"/>
      <c r="I283" s="923"/>
      <c r="J283" s="98"/>
      <c r="K283" s="31"/>
      <c r="L283" s="31"/>
      <c r="M283" s="21" t="s">
        <v>667</v>
      </c>
      <c r="N283" s="847" t="s">
        <v>668</v>
      </c>
      <c r="O283" s="21"/>
      <c r="P283" s="21"/>
      <c r="Q283" s="21"/>
      <c r="R283" s="21"/>
      <c r="S283" s="21"/>
      <c r="T283" s="21"/>
      <c r="U283" s="21"/>
      <c r="V283" s="21"/>
    </row>
    <row r="284" spans="1:22" s="2" customFormat="1" ht="30" customHeight="1" x14ac:dyDescent="0.25">
      <c r="A284" s="587"/>
      <c r="B284" s="267" t="s">
        <v>41</v>
      </c>
      <c r="C284" s="260" t="s">
        <v>1295</v>
      </c>
      <c r="D284" s="434">
        <f>D282+1</f>
        <v>231</v>
      </c>
      <c r="E284" s="435" t="s">
        <v>171</v>
      </c>
      <c r="F284" s="705" t="s">
        <v>263</v>
      </c>
      <c r="G284" s="927"/>
      <c r="H284" s="928" t="s">
        <v>285</v>
      </c>
      <c r="I284" s="923"/>
      <c r="J284" s="198" t="str">
        <f>IF(F284="","Belum Terisi",IF(AND($F$282=1,F284="Ada"),"CEK",IF(AND($F$282=5,COUNTIF($F$284:$F$287,"Tidak Ada")=4,$F$288="-"),"CEK","")))</f>
        <v/>
      </c>
      <c r="K284" s="31" t="str">
        <f>IF(AND(J284="CEK",$F$282=5),"Ada Penyedia Transportasi Penunjang Menuju Layanan Bidan di Desa",IF(AND(J284="CEK",$F$282=1),"Tidak Ada Penyedia Transportasi Penunjang Menuju Layanan Bidan di Desa",""))</f>
        <v/>
      </c>
      <c r="L284" s="43"/>
      <c r="M284" s="21" t="s">
        <v>667</v>
      </c>
      <c r="N284" s="21" t="s">
        <v>668</v>
      </c>
      <c r="O284" s="21"/>
      <c r="P284" s="21"/>
      <c r="Q284" s="21"/>
      <c r="R284" s="21"/>
      <c r="S284" s="21"/>
      <c r="T284" s="21"/>
      <c r="U284" s="21"/>
      <c r="V284" s="21"/>
    </row>
    <row r="285" spans="1:22" s="2" customFormat="1" ht="30" customHeight="1" x14ac:dyDescent="0.25">
      <c r="A285" s="587"/>
      <c r="B285" s="267" t="s">
        <v>139</v>
      </c>
      <c r="C285" s="260" t="s">
        <v>1296</v>
      </c>
      <c r="D285" s="434">
        <f>D284+1</f>
        <v>232</v>
      </c>
      <c r="E285" s="435" t="s">
        <v>171</v>
      </c>
      <c r="F285" s="706" t="s">
        <v>263</v>
      </c>
      <c r="G285" s="927"/>
      <c r="H285" s="928" t="s">
        <v>263</v>
      </c>
      <c r="I285" s="923"/>
      <c r="J285" s="198" t="str">
        <f>IF(F285="","Belum Terisi",IF(AND($F$282=1,F285="Ada"),"CEK",IF(AND($F$282=5,COUNTIF($F$284:$F$287,"Tidak Ada")=4,$F$288="-"),"CEK","")))</f>
        <v/>
      </c>
      <c r="K285" s="31" t="str">
        <f>IF(AND(J285="CEK",$F$282=5),"Ada Penyedia Transportasi Penunjang Menuju Layanan Bidan di Desa",IF(AND(J285="CEK",$F$282=1),"Tidak Ada Penyedia Transportasi Penunjang Menuju Layanan Bidan di Desa",""))</f>
        <v/>
      </c>
      <c r="L285" s="43"/>
      <c r="M285" s="21" t="s">
        <v>667</v>
      </c>
      <c r="N285" s="21" t="s">
        <v>668</v>
      </c>
      <c r="O285" s="21"/>
      <c r="P285" s="21"/>
      <c r="Q285" s="21"/>
      <c r="R285" s="21"/>
      <c r="S285" s="21"/>
      <c r="T285" s="21"/>
      <c r="U285" s="21"/>
      <c r="V285" s="21"/>
    </row>
    <row r="286" spans="1:22" s="2" customFormat="1" ht="30" customHeight="1" x14ac:dyDescent="0.25">
      <c r="A286" s="587"/>
      <c r="B286" s="267" t="s">
        <v>251</v>
      </c>
      <c r="C286" s="260" t="s">
        <v>1297</v>
      </c>
      <c r="D286" s="434">
        <f>D285+1</f>
        <v>233</v>
      </c>
      <c r="E286" s="435" t="s">
        <v>171</v>
      </c>
      <c r="F286" s="706" t="s">
        <v>263</v>
      </c>
      <c r="G286" s="927"/>
      <c r="H286" s="928"/>
      <c r="I286" s="923"/>
      <c r="J286" s="198" t="str">
        <f>IF(F286="","Belum Terisi",IF(AND($F$282=1,F286="Ada"),"CEK",IF(AND($F$282=5,COUNTIF($F$284:$F$287,"Tidak Ada")=4,$F$288="-"),"CEK","")))</f>
        <v/>
      </c>
      <c r="K286" s="31" t="str">
        <f>IF(AND(J286="CEK",$F$282=5),"Ada Penyedia Transportasi Penunjang Menuju Layanan Bidan di Desa",IF(AND(J286="CEK",$F$282=1),"Tidak Ada Penyedia Transportasi Penunjang Menuju Layanan Bidan di Desa",""))</f>
        <v/>
      </c>
      <c r="L286" s="43"/>
      <c r="M286" s="21" t="s">
        <v>667</v>
      </c>
      <c r="N286" s="21" t="s">
        <v>668</v>
      </c>
      <c r="O286" s="21"/>
      <c r="P286" s="21"/>
      <c r="Q286" s="21"/>
      <c r="R286" s="21"/>
      <c r="S286" s="21"/>
      <c r="T286" s="21"/>
      <c r="U286" s="21"/>
      <c r="V286" s="21"/>
    </row>
    <row r="287" spans="1:22" s="2" customFormat="1" ht="30" customHeight="1" x14ac:dyDescent="0.25">
      <c r="A287" s="587"/>
      <c r="B287" s="267" t="s">
        <v>255</v>
      </c>
      <c r="C287" s="260" t="s">
        <v>1298</v>
      </c>
      <c r="D287" s="434">
        <f>D286+1</f>
        <v>234</v>
      </c>
      <c r="E287" s="435" t="s">
        <v>171</v>
      </c>
      <c r="F287" s="706" t="s">
        <v>263</v>
      </c>
      <c r="G287" s="927"/>
      <c r="H287" s="928"/>
      <c r="I287" s="923"/>
      <c r="J287" s="198" t="str">
        <f>IF(F287="","Belum Terisi",IF(AND($F$282=1,F287="Ada"),"CEK",IF(AND($F$282=5,COUNTIF($F$284:$F$287,"Tidak Ada")=4,$F$288="-"),"CEK","")))</f>
        <v/>
      </c>
      <c r="K287" s="31" t="str">
        <f>IF(AND(J287="CEK",$F$282=5),"Ada Penyedia Transportasi Penunjang Menuju Layanan Bidan di Desa",IF(AND(J287="CEK",$F$282=1),"Tidak Ada Penyedia Transportasi Penunjang Menuju Layanan Bidan di Desa",""))</f>
        <v/>
      </c>
      <c r="L287" s="31"/>
      <c r="M287" s="21" t="s">
        <v>667</v>
      </c>
      <c r="N287" s="21" t="s">
        <v>668</v>
      </c>
      <c r="O287" s="21"/>
      <c r="P287" s="21"/>
      <c r="Q287" s="21"/>
      <c r="R287" s="21"/>
      <c r="S287" s="21"/>
      <c r="T287" s="21"/>
      <c r="U287" s="21"/>
      <c r="V287" s="21"/>
    </row>
    <row r="288" spans="1:22" s="2" customFormat="1" ht="30" customHeight="1" x14ac:dyDescent="0.25">
      <c r="A288" s="588"/>
      <c r="B288" s="267" t="s">
        <v>252</v>
      </c>
      <c r="C288" s="260" t="s">
        <v>1307</v>
      </c>
      <c r="D288" s="434">
        <f>D287+1</f>
        <v>235</v>
      </c>
      <c r="E288" s="435" t="s">
        <v>174</v>
      </c>
      <c r="F288" s="707" t="s">
        <v>240</v>
      </c>
      <c r="G288" s="924"/>
      <c r="H288" s="928"/>
      <c r="I288" s="923"/>
      <c r="J288" s="198" t="str">
        <f>IF(F288="","Belum Terisi",IF(AND($F$282=1,F288="Ada"),"CEK",IF(AND($F$282=5,COUNTIF($F$284:$F$287,"Tidak Ada")=4,$F$288="-"),"CEK","")))</f>
        <v/>
      </c>
      <c r="K288" s="31" t="str">
        <f>IF(AND(J288="CEK",$F$282=5),"Ada Penyedia Transportasi Penunjang Menuju Layanan Bidan di Desa",IF(AND(J288="CEK",$F$282=1),"Tidak Ada Penyedia Transportasi Penunjang Menuju Layanan Bidan di Desa",""))</f>
        <v/>
      </c>
      <c r="L288" s="43"/>
      <c r="M288" s="21" t="s">
        <v>667</v>
      </c>
      <c r="N288" s="21" t="s">
        <v>668</v>
      </c>
      <c r="O288" s="21"/>
      <c r="P288" s="21"/>
      <c r="Q288" s="21"/>
      <c r="R288" s="21"/>
      <c r="S288" s="21"/>
      <c r="T288" s="21"/>
      <c r="U288" s="21"/>
      <c r="V288" s="21"/>
    </row>
    <row r="289" spans="1:22" s="2" customFormat="1" ht="30" customHeight="1" x14ac:dyDescent="0.25">
      <c r="A289" s="570" t="s">
        <v>150</v>
      </c>
      <c r="B289" s="269"/>
      <c r="C289" s="253"/>
      <c r="D289" s="441"/>
      <c r="E289" s="429"/>
      <c r="F289" s="714"/>
      <c r="G289" s="924"/>
      <c r="H289" s="922"/>
      <c r="I289" s="923"/>
      <c r="J289" s="98"/>
      <c r="K289" s="31"/>
      <c r="L289" s="43"/>
      <c r="M289" s="21" t="s">
        <v>667</v>
      </c>
      <c r="N289" s="21"/>
      <c r="O289" s="21"/>
      <c r="P289" s="21"/>
      <c r="Q289" s="21"/>
      <c r="R289" s="21"/>
      <c r="S289" s="21"/>
      <c r="T289" s="21"/>
      <c r="U289" s="21"/>
      <c r="V289" s="21"/>
    </row>
    <row r="290" spans="1:22" s="2" customFormat="1" ht="30" customHeight="1" x14ac:dyDescent="0.25">
      <c r="A290" s="581" t="str">
        <f>"B "&amp;(RIGHT(A283,3)+1)</f>
        <v>B 215</v>
      </c>
      <c r="B290" s="258" t="s">
        <v>41</v>
      </c>
      <c r="C290" s="255" t="s">
        <v>1309</v>
      </c>
      <c r="D290" s="100">
        <f>D288+1</f>
        <v>236</v>
      </c>
      <c r="E290" s="436" t="s">
        <v>171</v>
      </c>
      <c r="F290" s="705">
        <v>1</v>
      </c>
      <c r="G290" s="927" t="s">
        <v>598</v>
      </c>
      <c r="H290" s="922"/>
      <c r="I290" s="923"/>
      <c r="J290" s="198" t="str">
        <f>IF(F290="","Belum Terisi",IF(OR(F290=1,F290=5),"","CEK"))</f>
        <v/>
      </c>
      <c r="K290" s="31" t="str">
        <f t="shared" ref="K290" si="41">IF(J290="CEK","Inputan Tidak Sesuai","")</f>
        <v/>
      </c>
      <c r="L290" s="43"/>
      <c r="M290" s="21" t="s">
        <v>667</v>
      </c>
      <c r="N290" s="847" t="s">
        <v>668</v>
      </c>
      <c r="O290" s="21"/>
      <c r="P290" s="21"/>
      <c r="Q290" s="21"/>
      <c r="R290" s="21"/>
      <c r="S290" s="21"/>
      <c r="T290" s="21"/>
      <c r="U290" s="21"/>
      <c r="V290" s="21"/>
    </row>
    <row r="291" spans="1:22" s="2" customFormat="1" ht="30" customHeight="1" x14ac:dyDescent="0.25">
      <c r="A291" s="587"/>
      <c r="B291" s="267" t="s">
        <v>139</v>
      </c>
      <c r="C291" s="260" t="s">
        <v>293</v>
      </c>
      <c r="D291" s="100">
        <f>D290+1</f>
        <v>237</v>
      </c>
      <c r="E291" s="471" t="s">
        <v>62</v>
      </c>
      <c r="F291" s="706">
        <v>0</v>
      </c>
      <c r="G291" s="927"/>
      <c r="H291" s="934" t="s">
        <v>147</v>
      </c>
      <c r="I291" s="940"/>
      <c r="J291" s="198" t="str">
        <f>IF(F291="","Belum Terisi",IF(AND(F290=1,F291&lt;&gt;0),"CEK",""))</f>
        <v/>
      </c>
      <c r="K291" s="31" t="str">
        <f>IF(J291="CEK","Tidak Tersedia Layanan Tenaga Kesehatan Lainnya di Desa","")</f>
        <v/>
      </c>
      <c r="L291" s="43"/>
      <c r="M291" s="21" t="s">
        <v>667</v>
      </c>
      <c r="N291" s="21"/>
      <c r="O291" s="21"/>
      <c r="P291" s="21"/>
      <c r="Q291" s="21"/>
      <c r="R291" s="21"/>
      <c r="S291" s="21"/>
      <c r="T291" s="21"/>
      <c r="U291" s="21"/>
      <c r="V291" s="21"/>
    </row>
    <row r="292" spans="1:22" s="2" customFormat="1" ht="30" customHeight="1" x14ac:dyDescent="0.25">
      <c r="A292" s="587"/>
      <c r="B292" s="267" t="s">
        <v>251</v>
      </c>
      <c r="C292" s="260" t="s">
        <v>294</v>
      </c>
      <c r="D292" s="100">
        <f>D291+1</f>
        <v>238</v>
      </c>
      <c r="E292" s="436" t="s">
        <v>171</v>
      </c>
      <c r="F292" s="706">
        <v>1</v>
      </c>
      <c r="G292" s="927" t="s">
        <v>598</v>
      </c>
      <c r="H292" s="928"/>
      <c r="I292" s="923"/>
      <c r="J292" s="198" t="str">
        <f>IF(F292="","Belum Terisi",IF(AND($F$290=1,F292&lt;&gt;1),"CEK",IF(OR(F292=1,F292=3,F292=5),"","CEK")))</f>
        <v/>
      </c>
      <c r="K292" s="31" t="str">
        <f>IF(AND(J292="CEK",$F$290=5,F292=1),"Terdapat Layanan Nakes Lainnya di Desa",IF(AND(J292="CEK",$F$290=1,F292&lt;&gt;1),"Tidak Terdapat Layanan Nakes Lainnya di Desa",""))</f>
        <v/>
      </c>
      <c r="L292" s="43"/>
      <c r="M292" s="21" t="s">
        <v>667</v>
      </c>
      <c r="N292" s="21"/>
      <c r="O292" s="21"/>
      <c r="P292" s="21"/>
      <c r="Q292" s="21"/>
      <c r="R292" s="21"/>
      <c r="S292" s="21"/>
      <c r="T292" s="21"/>
      <c r="U292" s="21"/>
      <c r="V292" s="21"/>
    </row>
    <row r="293" spans="1:22" s="2" customFormat="1" ht="30" customHeight="1" x14ac:dyDescent="0.25">
      <c r="A293" s="587"/>
      <c r="B293" s="267" t="s">
        <v>255</v>
      </c>
      <c r="C293" s="260" t="s">
        <v>295</v>
      </c>
      <c r="D293" s="100">
        <f>D292+1</f>
        <v>239</v>
      </c>
      <c r="E293" s="436" t="s">
        <v>171</v>
      </c>
      <c r="F293" s="706">
        <v>1</v>
      </c>
      <c r="G293" s="927" t="s">
        <v>598</v>
      </c>
      <c r="H293" s="928"/>
      <c r="I293" s="923"/>
      <c r="J293" s="198" t="str">
        <f>IF(F293="","Belum Terisi",IF(AND($F$290=5,F293=1),"CEK",IF(AND($F$290=1,F293&lt;&gt;1),"CEK",IF(OR(F293=1,F293=3,F293=5),"","CEK"))))</f>
        <v/>
      </c>
      <c r="K293" s="31" t="str">
        <f>IF(AND(J293="CEK",$F$290=5,F293=1),"Terdapat Layanan Nakes Lainnya di Desa",IF(AND(J293="CEK",$F$290=1,F293&lt;&gt;1),"Tidak Terdapat Layanan Nakes Lainnya di Desa",""))</f>
        <v/>
      </c>
      <c r="L293" s="43"/>
      <c r="M293" s="21" t="s">
        <v>667</v>
      </c>
      <c r="N293" s="21"/>
      <c r="O293" s="21"/>
      <c r="P293" s="21"/>
      <c r="Q293" s="21"/>
      <c r="R293" s="21"/>
      <c r="S293" s="21"/>
      <c r="T293" s="21"/>
      <c r="U293" s="21"/>
      <c r="V293" s="21"/>
    </row>
    <row r="294" spans="1:22" s="2" customFormat="1" ht="30" customHeight="1" x14ac:dyDescent="0.25">
      <c r="A294" s="588"/>
      <c r="B294" s="267" t="s">
        <v>252</v>
      </c>
      <c r="C294" s="260" t="s">
        <v>296</v>
      </c>
      <c r="D294" s="100">
        <f>D293+1</f>
        <v>240</v>
      </c>
      <c r="E294" s="436" t="s">
        <v>171</v>
      </c>
      <c r="F294" s="707">
        <v>1</v>
      </c>
      <c r="G294" s="927" t="s">
        <v>598</v>
      </c>
      <c r="H294" s="928"/>
      <c r="I294" s="923"/>
      <c r="J294" s="198" t="str">
        <f>IF(F294="","Belum Terisi",IF(AND($F$290=1,F294&lt;&gt;1),"CEK",IF(OR(F294=1,F294=5),"","CEK")))</f>
        <v/>
      </c>
      <c r="K294" s="31" t="str">
        <f>IF(AND(J294="CEK",$F$290=5,F294=1),"Terdapat Layanan Bidan di Desa",IF(AND(J294="CEK",$F$290=1,F294&lt;&gt;1),"Tidak Terdapat Layanan Bidan di Desa",""))</f>
        <v/>
      </c>
      <c r="L294" s="31"/>
      <c r="M294" s="21" t="s">
        <v>667</v>
      </c>
      <c r="N294" s="21"/>
      <c r="O294" s="21"/>
      <c r="P294" s="21"/>
      <c r="Q294" s="21"/>
      <c r="R294" s="21"/>
      <c r="S294" s="21"/>
      <c r="T294" s="21"/>
      <c r="U294" s="21"/>
      <c r="V294" s="21"/>
    </row>
    <row r="295" spans="1:22" s="2" customFormat="1" ht="40.15" customHeight="1" x14ac:dyDescent="0.25">
      <c r="A295" s="583" t="str">
        <f>"B "&amp;(RIGHT(A290,3)+1)</f>
        <v>B 216</v>
      </c>
      <c r="B295" s="270"/>
      <c r="C295" s="260" t="s">
        <v>700</v>
      </c>
      <c r="D295" s="430"/>
      <c r="E295" s="429"/>
      <c r="F295" s="714"/>
      <c r="G295" s="924"/>
      <c r="H295" s="928"/>
      <c r="I295" s="923"/>
      <c r="J295" s="98"/>
      <c r="K295" s="31"/>
      <c r="L295" s="43"/>
      <c r="M295" s="21" t="s">
        <v>667</v>
      </c>
      <c r="N295" s="847" t="s">
        <v>668</v>
      </c>
      <c r="O295" s="21"/>
      <c r="P295" s="21"/>
      <c r="Q295" s="21"/>
      <c r="R295" s="21"/>
      <c r="S295" s="21"/>
      <c r="T295" s="21"/>
      <c r="U295" s="21"/>
      <c r="V295" s="21"/>
    </row>
    <row r="296" spans="1:22" s="2" customFormat="1" ht="30" customHeight="1" x14ac:dyDescent="0.25">
      <c r="A296" s="587"/>
      <c r="B296" s="258" t="s">
        <v>41</v>
      </c>
      <c r="C296" s="260" t="s">
        <v>1295</v>
      </c>
      <c r="D296" s="434">
        <f>D294+1</f>
        <v>241</v>
      </c>
      <c r="E296" s="435" t="s">
        <v>171</v>
      </c>
      <c r="F296" s="705" t="s">
        <v>263</v>
      </c>
      <c r="G296" s="927"/>
      <c r="H296" s="923">
        <v>2</v>
      </c>
      <c r="I296" s="923"/>
      <c r="J296" s="198" t="str">
        <f>IF(F296="","Belum Terisi",IF(AND($F$294=1,F296="Ada"),"CEK",IF(AND($F$294=5,COUNTIF($F$296:$F$299,"Tidak Ada")=4,$F$300="-"),"CEK","")))</f>
        <v/>
      </c>
      <c r="K296" s="31" t="str">
        <f>IF(AND(J296="CEK",$F$294=5),"Ada Penyedia Transportasi Penunjang Menuju Layanan Nakes Lainnya di Desa",IF(AND(J296="CEK",$F$294=1),"Tidak Ada Penyedia Transportasi Penunjang Menuju Layanan Nakes Lainnya di Desa",""))</f>
        <v/>
      </c>
      <c r="L296" s="43"/>
      <c r="M296" s="21" t="s">
        <v>667</v>
      </c>
      <c r="N296" s="21" t="s">
        <v>668</v>
      </c>
      <c r="O296" s="21"/>
      <c r="P296" s="21"/>
      <c r="Q296" s="21"/>
      <c r="R296" s="21"/>
      <c r="S296" s="21"/>
      <c r="T296" s="21"/>
      <c r="U296" s="21"/>
      <c r="V296" s="21"/>
    </row>
    <row r="297" spans="1:22" s="2" customFormat="1" ht="30" customHeight="1" x14ac:dyDescent="0.25">
      <c r="A297" s="587"/>
      <c r="B297" s="267" t="s">
        <v>139</v>
      </c>
      <c r="C297" s="260" t="s">
        <v>1296</v>
      </c>
      <c r="D297" s="434">
        <f>D296+1</f>
        <v>242</v>
      </c>
      <c r="E297" s="435" t="s">
        <v>171</v>
      </c>
      <c r="F297" s="706" t="s">
        <v>263</v>
      </c>
      <c r="G297" s="927"/>
      <c r="H297" s="922" t="s">
        <v>151</v>
      </c>
      <c r="I297" s="923"/>
      <c r="J297" s="198" t="str">
        <f>IF(F297="","Belum Terisi",IF(AND($F$294=1,F297="Ada"),"CEK",IF(AND($F$294=5,COUNTIF($F$296:$F$299,"Tidak Ada")=4,$F$300="-"),"CEK","")))</f>
        <v/>
      </c>
      <c r="K297" s="31" t="str">
        <f>IF(AND(J297="CEK",$F$294=5),"Ada Penyedia Transportasi Penunjang Menuju Layanan Nakes Lainnya di Desa",IF(AND(J297="CEK",$F$294=1),"Tidak Ada Penyedia Transportasi Penunjang Menuju Layanan Nakes Lainnya di Desa",""))</f>
        <v/>
      </c>
      <c r="L297" s="43"/>
      <c r="M297" s="21" t="s">
        <v>667</v>
      </c>
      <c r="N297" s="21" t="s">
        <v>668</v>
      </c>
      <c r="O297" s="21"/>
      <c r="P297" s="21"/>
      <c r="Q297" s="21"/>
      <c r="R297" s="21"/>
      <c r="S297" s="21"/>
      <c r="T297" s="21"/>
      <c r="U297" s="21"/>
      <c r="V297" s="21"/>
    </row>
    <row r="298" spans="1:22" s="2" customFormat="1" ht="30" customHeight="1" x14ac:dyDescent="0.25">
      <c r="A298" s="587"/>
      <c r="B298" s="267" t="s">
        <v>251</v>
      </c>
      <c r="C298" s="260" t="s">
        <v>1297</v>
      </c>
      <c r="D298" s="434">
        <f>D297+1</f>
        <v>243</v>
      </c>
      <c r="E298" s="435" t="s">
        <v>171</v>
      </c>
      <c r="F298" s="706" t="s">
        <v>263</v>
      </c>
      <c r="G298" s="927"/>
      <c r="H298" s="922" t="s">
        <v>834</v>
      </c>
      <c r="I298" s="923"/>
      <c r="J298" s="198" t="str">
        <f>IF(F298="","Belum Terisi",IF(AND($F$294=1,F298="Ada"),"CEK",IF(AND($F$294=5,COUNTIF($F$296:$F$299,"Tidak Ada")=4,$F$300="-"),"CEK","")))</f>
        <v/>
      </c>
      <c r="K298" s="31" t="str">
        <f>IF(AND(J298="CEK",$F$294=5),"Ada Penyedia Transportasi Penunjang Menuju Layanan Nakes Lainnya di Desa",IF(AND(J298="CEK",$F$294=1),"Tidak Ada Penyedia Transportasi Penunjang Menuju Layanan Nakes Lainnya di Desa",""))</f>
        <v/>
      </c>
      <c r="L298" s="31"/>
      <c r="M298" s="21" t="s">
        <v>667</v>
      </c>
      <c r="N298" s="21" t="s">
        <v>668</v>
      </c>
      <c r="O298" s="21"/>
      <c r="P298" s="21"/>
      <c r="Q298" s="21"/>
      <c r="R298" s="21"/>
      <c r="S298" s="21"/>
      <c r="T298" s="21"/>
      <c r="U298" s="21"/>
      <c r="V298" s="21"/>
    </row>
    <row r="299" spans="1:22" s="2" customFormat="1" ht="30" customHeight="1" x14ac:dyDescent="0.25">
      <c r="A299" s="587"/>
      <c r="B299" s="267" t="s">
        <v>255</v>
      </c>
      <c r="C299" s="260" t="s">
        <v>1298</v>
      </c>
      <c r="D299" s="434">
        <f>D298+1</f>
        <v>244</v>
      </c>
      <c r="E299" s="435" t="s">
        <v>171</v>
      </c>
      <c r="F299" s="706" t="s">
        <v>263</v>
      </c>
      <c r="G299" s="927"/>
      <c r="H299" s="922" t="s">
        <v>835</v>
      </c>
      <c r="I299" s="923"/>
      <c r="J299" s="198" t="str">
        <f>IF(F299="","Belum Terisi",IF(AND($F$294=1,F299="Ada"),"CEK",IF(AND($F$294=5,COUNTIF($F$296:$F$299,"Tidak Ada")=4,$F$300="-"),"CEK","")))</f>
        <v/>
      </c>
      <c r="K299" s="31" t="str">
        <f>IF(AND(J299="CEK",$F$294=5),"Ada Penyedia Transportasi Penunjang Menuju Layanan Nakes Lainnya di Desa",IF(AND(J299="CEK",$F$294=1),"Tidak Ada Penyedia Transportasi Penunjang Menuju Layanan Nakes Lainnya di Desa",""))</f>
        <v/>
      </c>
      <c r="L299" s="43"/>
      <c r="M299" s="21" t="s">
        <v>667</v>
      </c>
      <c r="N299" s="21" t="s">
        <v>668</v>
      </c>
      <c r="O299" s="21"/>
      <c r="P299" s="21"/>
      <c r="Q299" s="21"/>
      <c r="R299" s="21"/>
      <c r="S299" s="21"/>
      <c r="T299" s="21"/>
      <c r="U299" s="21"/>
      <c r="V299" s="21"/>
    </row>
    <row r="300" spans="1:22" s="2" customFormat="1" ht="30" customHeight="1" x14ac:dyDescent="0.25">
      <c r="A300" s="588"/>
      <c r="B300" s="267" t="s">
        <v>252</v>
      </c>
      <c r="C300" s="260" t="s">
        <v>1307</v>
      </c>
      <c r="D300" s="434">
        <f>D299+1</f>
        <v>245</v>
      </c>
      <c r="E300" s="435" t="s">
        <v>174</v>
      </c>
      <c r="F300" s="707" t="s">
        <v>240</v>
      </c>
      <c r="G300" s="924"/>
      <c r="H300" s="928"/>
      <c r="I300" s="923"/>
      <c r="J300" s="198" t="str">
        <f>IF(F300="","Belum Terisi",IF(AND($F$294=1,F300="Ada"),"CEK",IF(AND($F$294=5,COUNTIF($F$296:$F$299,"Tidak Ada")=4,$F$300="-"),"CEK","")))</f>
        <v/>
      </c>
      <c r="K300" s="31" t="str">
        <f>IF(AND(J300="CEK",$F$294=5),"Ada Penyedia Transportasi Penunjang Menuju Layanan Nakes Lainnya di Desa",IF(AND(J300="CEK",$F$294=1),"Tidak Ada Penyedia Transportasi Penunjang Menuju Layanan Nakes Lainnya di Desa",""))</f>
        <v/>
      </c>
      <c r="L300" s="43"/>
      <c r="M300" s="21" t="s">
        <v>667</v>
      </c>
      <c r="N300" s="21" t="s">
        <v>668</v>
      </c>
      <c r="O300" s="21"/>
      <c r="P300" s="21"/>
      <c r="Q300" s="21"/>
      <c r="R300" s="21"/>
      <c r="S300" s="21"/>
      <c r="T300" s="21"/>
      <c r="U300" s="21"/>
      <c r="V300" s="21"/>
    </row>
    <row r="301" spans="1:22" s="2" customFormat="1" ht="30" customHeight="1" x14ac:dyDescent="0.25">
      <c r="A301" s="579" t="s">
        <v>297</v>
      </c>
      <c r="B301" s="269"/>
      <c r="C301" s="261"/>
      <c r="D301" s="441"/>
      <c r="E301" s="429"/>
      <c r="F301" s="714"/>
      <c r="G301" s="924"/>
      <c r="H301" s="925"/>
      <c r="I301" s="923"/>
      <c r="J301" s="98"/>
      <c r="K301" s="31"/>
      <c r="L301" s="43"/>
      <c r="M301" s="21" t="s">
        <v>667</v>
      </c>
      <c r="N301" s="21"/>
      <c r="O301" s="21"/>
      <c r="P301" s="21"/>
      <c r="Q301" s="21"/>
      <c r="R301" s="21"/>
      <c r="S301" s="21"/>
      <c r="T301" s="21"/>
      <c r="U301" s="21"/>
      <c r="V301" s="21"/>
    </row>
    <row r="302" spans="1:22" s="2" customFormat="1" ht="40.15" customHeight="1" x14ac:dyDescent="0.25">
      <c r="A302" s="589" t="str">
        <f>"B "&amp;(RIGHT(A295,3)+1)</f>
        <v>B 217</v>
      </c>
      <c r="B302" s="258" t="s">
        <v>41</v>
      </c>
      <c r="C302" s="255" t="s">
        <v>1312</v>
      </c>
      <c r="D302" s="100">
        <f>D300+1</f>
        <v>246</v>
      </c>
      <c r="E302" s="427" t="s">
        <v>33</v>
      </c>
      <c r="F302" s="718">
        <v>450</v>
      </c>
      <c r="G302" s="927" t="s">
        <v>599</v>
      </c>
      <c r="H302" s="925"/>
      <c r="I302" s="923"/>
      <c r="J302" s="198" t="str">
        <f>IF(LEN(F302)&gt;0,"","Belum Terisi")</f>
        <v/>
      </c>
      <c r="K302" s="31"/>
      <c r="L302" s="31"/>
      <c r="M302" s="21" t="s">
        <v>667</v>
      </c>
      <c r="N302" s="21"/>
      <c r="O302" s="21"/>
      <c r="P302" s="21"/>
      <c r="Q302" s="21"/>
      <c r="R302" s="21"/>
      <c r="S302" s="21"/>
      <c r="T302" s="21"/>
      <c r="U302" s="21"/>
      <c r="V302" s="21"/>
    </row>
    <row r="303" spans="1:22" s="2" customFormat="1" ht="30" customHeight="1" x14ac:dyDescent="0.25">
      <c r="A303" s="590"/>
      <c r="B303" s="258" t="s">
        <v>139</v>
      </c>
      <c r="C303" s="271" t="s">
        <v>298</v>
      </c>
      <c r="D303" s="434">
        <f>D302+1</f>
        <v>247</v>
      </c>
      <c r="E303" s="22">
        <f>IF(AND(F302=0,F118=0),0,(F302/F118))</f>
        <v>0.17864231838030964</v>
      </c>
      <c r="F303" s="808">
        <f>IF(E303&lt;=20%,1,
IF(AND(E303&gt;20%,E303&lt;=40%),2,
IF(AND(E303&gt;40%,E303&lt;=60%),3,
IF(AND(E303&gt;60%,E303&lt;=80%),4,
IF(AND(E303&gt;80%,E303&lt;=100%),5,"Tidak Teridentifikasi")))))</f>
        <v>1</v>
      </c>
      <c r="G303" s="927" t="s">
        <v>599</v>
      </c>
      <c r="H303" s="925"/>
      <c r="I303" s="923"/>
      <c r="J303" s="198" t="str">
        <f>IF(LEN(F303)&gt;0,"","Belum Terisi")</f>
        <v/>
      </c>
      <c r="K303" s="31"/>
      <c r="L303" s="43"/>
      <c r="M303" s="21" t="s">
        <v>667</v>
      </c>
      <c r="N303" s="21"/>
      <c r="O303" s="21"/>
      <c r="P303" s="21"/>
      <c r="Q303" s="21"/>
      <c r="R303" s="21"/>
      <c r="S303" s="21"/>
      <c r="T303" s="21"/>
      <c r="U303" s="21"/>
      <c r="V303" s="21"/>
    </row>
    <row r="304" spans="1:22" s="2" customFormat="1" ht="40.15" customHeight="1" x14ac:dyDescent="0.25">
      <c r="A304" s="590"/>
      <c r="B304" s="258" t="s">
        <v>251</v>
      </c>
      <c r="C304" s="271" t="s">
        <v>299</v>
      </c>
      <c r="D304" s="434">
        <f>D303+1</f>
        <v>248</v>
      </c>
      <c r="E304" s="435" t="s">
        <v>171</v>
      </c>
      <c r="F304" s="706">
        <v>1</v>
      </c>
      <c r="G304" s="927" t="s">
        <v>599</v>
      </c>
      <c r="H304" s="922"/>
      <c r="I304" s="923"/>
      <c r="J304" s="198" t="str">
        <f>IF(F304="","Belum Terisi",IF(AND($F$290=1,F304&lt;&gt;1),"CEK",IF(OR(F304=1,F304=5),"","CEK")))</f>
        <v/>
      </c>
      <c r="K304" s="31" t="str">
        <f>IF(AND(J304="CEK",$F$290=5,F304=1),"Terdapat Layanan Bidan di Desa",IF(AND(J304="CEK",$F$290=1,F304&lt;&gt;1),"Tidak Terdapat Layanan Bidan di Desa",""))</f>
        <v/>
      </c>
      <c r="L304" s="43"/>
      <c r="M304" s="21" t="s">
        <v>667</v>
      </c>
      <c r="N304" s="21"/>
      <c r="O304" s="21"/>
      <c r="P304" s="21"/>
      <c r="Q304" s="21"/>
      <c r="R304" s="21"/>
      <c r="S304" s="21"/>
      <c r="T304" s="21"/>
      <c r="U304" s="21"/>
      <c r="V304" s="21"/>
    </row>
    <row r="305" spans="1:22" s="2" customFormat="1" ht="49.9" customHeight="1" x14ac:dyDescent="0.25">
      <c r="A305" s="591"/>
      <c r="B305" s="258" t="s">
        <v>255</v>
      </c>
      <c r="C305" s="271" t="s">
        <v>2475</v>
      </c>
      <c r="D305" s="434">
        <f>D304+1</f>
        <v>249</v>
      </c>
      <c r="E305" s="435" t="s">
        <v>174</v>
      </c>
      <c r="F305" s="707" t="s">
        <v>240</v>
      </c>
      <c r="G305" s="924"/>
      <c r="H305" s="922"/>
      <c r="I305" s="923"/>
      <c r="J305" s="198" t="str">
        <f>IF(LEN(F305)&gt;0,"","Belum Terisi")</f>
        <v/>
      </c>
      <c r="K305" s="31"/>
      <c r="L305" s="31"/>
      <c r="M305" s="21" t="s">
        <v>667</v>
      </c>
      <c r="N305" s="21"/>
      <c r="O305" s="21"/>
      <c r="P305" s="21"/>
      <c r="Q305" s="21"/>
      <c r="R305" s="21"/>
      <c r="S305" s="21"/>
      <c r="T305" s="21"/>
      <c r="U305" s="21"/>
      <c r="V305" s="21"/>
    </row>
    <row r="306" spans="1:22" s="2" customFormat="1" ht="30" customHeight="1" x14ac:dyDescent="0.25">
      <c r="A306" s="592" t="s">
        <v>2480</v>
      </c>
      <c r="B306" s="262" t="s">
        <v>301</v>
      </c>
      <c r="C306" s="261"/>
      <c r="D306" s="473"/>
      <c r="E306" s="429"/>
      <c r="F306" s="714"/>
      <c r="G306" s="924"/>
      <c r="H306" s="922"/>
      <c r="I306" s="923"/>
      <c r="J306" s="198"/>
      <c r="K306" s="31"/>
      <c r="L306" s="31"/>
      <c r="M306" s="21" t="s">
        <v>667</v>
      </c>
      <c r="N306" s="21"/>
      <c r="O306" s="21"/>
      <c r="P306" s="21"/>
      <c r="Q306" s="21"/>
      <c r="R306" s="21"/>
      <c r="S306" s="21"/>
      <c r="T306" s="21"/>
      <c r="U306" s="21"/>
      <c r="V306" s="21"/>
    </row>
    <row r="307" spans="1:22" s="2" customFormat="1" ht="30" customHeight="1" x14ac:dyDescent="0.25">
      <c r="A307" s="579" t="s">
        <v>307</v>
      </c>
      <c r="B307" s="259"/>
      <c r="C307" s="272"/>
      <c r="D307" s="474"/>
      <c r="E307" s="204"/>
      <c r="F307" s="855"/>
      <c r="G307" s="927"/>
      <c r="H307" s="927"/>
      <c r="I307" s="927"/>
      <c r="J307" s="204"/>
      <c r="K307" s="204"/>
      <c r="L307" s="19"/>
      <c r="M307" s="21" t="s">
        <v>667</v>
      </c>
      <c r="N307" s="21"/>
      <c r="O307" s="21"/>
      <c r="P307" s="21"/>
      <c r="Q307" s="21"/>
      <c r="R307" s="21"/>
      <c r="S307" s="21"/>
      <c r="T307" s="21"/>
      <c r="U307" s="21"/>
      <c r="V307" s="21"/>
    </row>
    <row r="308" spans="1:22" s="2" customFormat="1" ht="30" customHeight="1" x14ac:dyDescent="0.25">
      <c r="A308" s="593" t="s">
        <v>2481</v>
      </c>
      <c r="B308" s="258" t="s">
        <v>41</v>
      </c>
      <c r="C308" s="271" t="s">
        <v>1313</v>
      </c>
      <c r="D308" s="100">
        <f>D305+1</f>
        <v>250</v>
      </c>
      <c r="E308" s="427" t="s">
        <v>171</v>
      </c>
      <c r="F308" s="693" t="s">
        <v>285</v>
      </c>
      <c r="G308" s="924"/>
      <c r="H308" s="922"/>
      <c r="I308" s="923"/>
      <c r="J308" s="198" t="str">
        <f t="shared" ref="J308:J312" si="42">IF(LEN(F308)&gt;0,"","Belum Terisi")</f>
        <v/>
      </c>
      <c r="K308" s="31"/>
      <c r="L308" s="43"/>
      <c r="M308" s="847" t="s">
        <v>667</v>
      </c>
      <c r="N308" s="847" t="s">
        <v>668</v>
      </c>
      <c r="O308" s="21"/>
      <c r="P308" s="21"/>
      <c r="Q308" s="21"/>
      <c r="R308" s="21"/>
      <c r="S308" s="21"/>
      <c r="T308" s="21"/>
      <c r="U308" s="21"/>
      <c r="V308" s="21"/>
    </row>
    <row r="309" spans="1:22" s="2" customFormat="1" ht="30" customHeight="1" x14ac:dyDescent="0.25">
      <c r="A309" s="590"/>
      <c r="B309" s="258" t="s">
        <v>139</v>
      </c>
      <c r="C309" s="271" t="s">
        <v>1314</v>
      </c>
      <c r="D309" s="100">
        <f t="shared" ref="D309:D318" si="43">D308+1</f>
        <v>251</v>
      </c>
      <c r="E309" s="427" t="s">
        <v>171</v>
      </c>
      <c r="F309" s="694" t="s">
        <v>285</v>
      </c>
      <c r="G309" s="924"/>
      <c r="H309" s="922"/>
      <c r="I309" s="923"/>
      <c r="J309" s="198" t="str">
        <f t="shared" si="42"/>
        <v/>
      </c>
      <c r="K309" s="31"/>
      <c r="L309" s="43"/>
      <c r="M309" s="847" t="s">
        <v>667</v>
      </c>
      <c r="N309" s="21" t="s">
        <v>668</v>
      </c>
      <c r="O309" s="21"/>
      <c r="P309" s="21"/>
      <c r="Q309" s="21"/>
      <c r="R309" s="21"/>
      <c r="S309" s="21"/>
      <c r="T309" s="21"/>
      <c r="U309" s="21"/>
      <c r="V309" s="21"/>
    </row>
    <row r="310" spans="1:22" s="2" customFormat="1" ht="30" customHeight="1" x14ac:dyDescent="0.25">
      <c r="A310" s="590"/>
      <c r="B310" s="258" t="s">
        <v>251</v>
      </c>
      <c r="C310" s="271" t="s">
        <v>1315</v>
      </c>
      <c r="D310" s="100">
        <f t="shared" si="43"/>
        <v>252</v>
      </c>
      <c r="E310" s="427" t="s">
        <v>171</v>
      </c>
      <c r="F310" s="694" t="s">
        <v>285</v>
      </c>
      <c r="G310" s="924"/>
      <c r="H310" s="922"/>
      <c r="I310" s="923"/>
      <c r="J310" s="198" t="str">
        <f t="shared" si="42"/>
        <v/>
      </c>
      <c r="K310" s="31"/>
      <c r="L310" s="31"/>
      <c r="M310" s="847" t="s">
        <v>667</v>
      </c>
      <c r="N310" s="21" t="s">
        <v>668</v>
      </c>
      <c r="O310" s="21"/>
      <c r="P310" s="21"/>
      <c r="Q310" s="21"/>
      <c r="R310" s="21"/>
      <c r="S310" s="21"/>
      <c r="T310" s="21"/>
      <c r="U310" s="21"/>
      <c r="V310" s="21"/>
    </row>
    <row r="311" spans="1:22" s="2" customFormat="1" ht="30.6" customHeight="1" x14ac:dyDescent="0.25">
      <c r="A311" s="590"/>
      <c r="B311" s="258" t="s">
        <v>255</v>
      </c>
      <c r="C311" s="271" t="s">
        <v>1316</v>
      </c>
      <c r="D311" s="100">
        <f t="shared" si="43"/>
        <v>253</v>
      </c>
      <c r="E311" s="427" t="s">
        <v>171</v>
      </c>
      <c r="F311" s="694" t="s">
        <v>285</v>
      </c>
      <c r="G311" s="924"/>
      <c r="H311" s="922"/>
      <c r="I311" s="923"/>
      <c r="J311" s="198" t="str">
        <f t="shared" si="42"/>
        <v/>
      </c>
      <c r="K311" s="31"/>
      <c r="L311" s="43"/>
      <c r="M311" s="847" t="s">
        <v>667</v>
      </c>
      <c r="N311" s="21" t="s">
        <v>668</v>
      </c>
      <c r="O311" s="21"/>
      <c r="P311" s="21"/>
      <c r="Q311" s="21"/>
      <c r="R311" s="21"/>
      <c r="S311" s="21"/>
      <c r="T311" s="21"/>
      <c r="U311" s="21"/>
      <c r="V311" s="21"/>
    </row>
    <row r="312" spans="1:22" s="2" customFormat="1" ht="30" customHeight="1" x14ac:dyDescent="0.25">
      <c r="A312" s="591"/>
      <c r="B312" s="258" t="s">
        <v>252</v>
      </c>
      <c r="C312" s="271" t="s">
        <v>1317</v>
      </c>
      <c r="D312" s="100">
        <f t="shared" si="43"/>
        <v>254</v>
      </c>
      <c r="E312" s="427" t="s">
        <v>171</v>
      </c>
      <c r="F312" s="697" t="s">
        <v>2813</v>
      </c>
      <c r="G312" s="924"/>
      <c r="H312" s="922"/>
      <c r="I312" s="923"/>
      <c r="J312" s="198" t="str">
        <f t="shared" si="42"/>
        <v/>
      </c>
      <c r="K312" s="31"/>
      <c r="L312" s="43"/>
      <c r="M312" s="847" t="s">
        <v>667</v>
      </c>
      <c r="N312" s="21" t="s">
        <v>668</v>
      </c>
      <c r="O312" s="21"/>
      <c r="P312" s="21"/>
      <c r="Q312" s="21"/>
      <c r="R312" s="21"/>
      <c r="S312" s="21"/>
      <c r="T312" s="21"/>
      <c r="U312" s="21"/>
      <c r="V312" s="21"/>
    </row>
    <row r="313" spans="1:22" s="2" customFormat="1" ht="30" customHeight="1" x14ac:dyDescent="0.25">
      <c r="A313" s="594" t="str">
        <f>"B "&amp;(RIGHT(A308,3)+1)</f>
        <v>B 302</v>
      </c>
      <c r="B313" s="258" t="s">
        <v>41</v>
      </c>
      <c r="C313" s="255" t="s">
        <v>308</v>
      </c>
      <c r="D313" s="100">
        <f t="shared" si="43"/>
        <v>255</v>
      </c>
      <c r="E313" s="435" t="s">
        <v>171</v>
      </c>
      <c r="F313" s="705">
        <v>3</v>
      </c>
      <c r="G313" s="941" t="s">
        <v>142</v>
      </c>
      <c r="H313" s="922"/>
      <c r="I313" s="923">
        <v>1</v>
      </c>
      <c r="J313" s="198" t="str">
        <f>IF(F313="","Belum Terisi",IF(OR(F313=1,F313=3,F313=5),"","CEK"))</f>
        <v/>
      </c>
      <c r="K313" s="31" t="str">
        <f t="shared" ref="K313" si="44">IF(J313="CEK","Inputan Tidak Sesuai","")</f>
        <v/>
      </c>
      <c r="L313" s="31"/>
      <c r="M313" s="21" t="s">
        <v>667</v>
      </c>
      <c r="N313" s="21"/>
      <c r="O313" s="21"/>
      <c r="P313" s="21"/>
      <c r="Q313" s="21"/>
      <c r="R313" s="21"/>
      <c r="S313" s="21"/>
      <c r="T313" s="21"/>
      <c r="U313" s="21"/>
      <c r="V313" s="21"/>
    </row>
    <row r="314" spans="1:22" s="2" customFormat="1" ht="30" customHeight="1" x14ac:dyDescent="0.25">
      <c r="A314" s="590"/>
      <c r="B314" s="258" t="s">
        <v>139</v>
      </c>
      <c r="C314" s="255" t="s">
        <v>309</v>
      </c>
      <c r="D314" s="100">
        <f t="shared" si="43"/>
        <v>256</v>
      </c>
      <c r="E314" s="455" t="s">
        <v>638</v>
      </c>
      <c r="F314" s="749">
        <v>570</v>
      </c>
      <c r="G314" s="941" t="s">
        <v>142</v>
      </c>
      <c r="H314" s="928" t="s">
        <v>703</v>
      </c>
      <c r="I314" s="923">
        <v>3</v>
      </c>
      <c r="J314" s="198" t="str">
        <f>IF(F314="","Belum Terisi",IF(F314&gt;F124,"CEK",""))</f>
        <v/>
      </c>
      <c r="K314" s="31" t="str">
        <f>IF(J314="CEK","Tidak Lebih dari jumlah rumah di Desa","")</f>
        <v/>
      </c>
      <c r="L314" s="43"/>
      <c r="M314" s="21" t="s">
        <v>667</v>
      </c>
      <c r="N314" s="21"/>
      <c r="O314" s="21"/>
      <c r="P314" s="21"/>
      <c r="Q314" s="21"/>
      <c r="R314" s="21"/>
      <c r="S314" s="21"/>
      <c r="T314" s="21"/>
      <c r="U314" s="21"/>
      <c r="V314" s="21"/>
    </row>
    <row r="315" spans="1:22" s="2" customFormat="1" ht="30" customHeight="1" x14ac:dyDescent="0.25">
      <c r="A315" s="590"/>
      <c r="B315" s="258" t="s">
        <v>251</v>
      </c>
      <c r="C315" s="255" t="s">
        <v>310</v>
      </c>
      <c r="D315" s="100">
        <f t="shared" si="43"/>
        <v>257</v>
      </c>
      <c r="E315" s="24">
        <f>IF(AND(F314=0,F124=0),0,(F314/F124))</f>
        <v>0.73929961089494167</v>
      </c>
      <c r="F315" s="750">
        <f>IF(E315&lt;50%,1,
IF(AND(E315&gt;=50%,E315&lt;100%),3,
IF(E315=100%,5,"Melebihi Jumlah Ketersediaan Rumah")))</f>
        <v>3</v>
      </c>
      <c r="G315" s="941" t="s">
        <v>142</v>
      </c>
      <c r="H315" s="922"/>
      <c r="I315" s="923"/>
      <c r="J315" s="198" t="str">
        <f>IF(LEN(F315)&gt;0,"","Belum Terisi")</f>
        <v/>
      </c>
      <c r="K315" s="31"/>
      <c r="L315" s="43"/>
      <c r="M315" s="21" t="s">
        <v>667</v>
      </c>
      <c r="N315" s="21"/>
      <c r="O315" s="21"/>
      <c r="P315" s="21"/>
      <c r="Q315" s="21"/>
      <c r="R315" s="21"/>
      <c r="S315" s="21"/>
      <c r="T315" s="21"/>
      <c r="U315" s="21"/>
      <c r="V315" s="21"/>
    </row>
    <row r="316" spans="1:22" s="2" customFormat="1" ht="30" customHeight="1" x14ac:dyDescent="0.25">
      <c r="A316" s="590"/>
      <c r="B316" s="258" t="s">
        <v>255</v>
      </c>
      <c r="C316" s="255" t="s">
        <v>311</v>
      </c>
      <c r="D316" s="100">
        <f t="shared" si="43"/>
        <v>258</v>
      </c>
      <c r="E316" s="435" t="s">
        <v>171</v>
      </c>
      <c r="F316" s="706">
        <v>3</v>
      </c>
      <c r="G316" s="941" t="s">
        <v>142</v>
      </c>
      <c r="H316" s="922"/>
      <c r="I316" s="923"/>
      <c r="J316" s="198" t="str">
        <f>IF(F316="","Belum Terisi",IF(AND(F308="Tidak Ada",OR(F316=3,F316=5)),"CEK",IF(AND(F308="Ada",F316=1),"CEK",IF(OR(F316=1,F316=3,F316=5),"","CEK"))))</f>
        <v/>
      </c>
      <c r="K316" s="31" t="str">
        <f>IF(J316="CEK",F308&amp;" Sumber air Minum Dari PAM/PDAM","")</f>
        <v/>
      </c>
      <c r="L316" s="43"/>
      <c r="M316" s="21" t="s">
        <v>667</v>
      </c>
      <c r="N316" s="21"/>
      <c r="O316" s="21"/>
      <c r="P316" s="21"/>
      <c r="Q316" s="21"/>
      <c r="R316" s="21"/>
      <c r="S316" s="21"/>
      <c r="T316" s="21"/>
      <c r="U316" s="21"/>
      <c r="V316" s="21"/>
    </row>
    <row r="317" spans="1:22" s="2" customFormat="1" ht="49.9" customHeight="1" x14ac:dyDescent="0.25">
      <c r="A317" s="590"/>
      <c r="B317" s="258" t="s">
        <v>252</v>
      </c>
      <c r="C317" s="255" t="s">
        <v>312</v>
      </c>
      <c r="D317" s="100">
        <f t="shared" si="43"/>
        <v>259</v>
      </c>
      <c r="E317" s="435" t="s">
        <v>174</v>
      </c>
      <c r="F317" s="706" t="s">
        <v>240</v>
      </c>
      <c r="G317" s="924"/>
      <c r="H317" s="922"/>
      <c r="I317" s="923"/>
      <c r="J317" s="198" t="str">
        <f>IF(LEN(F317)&gt;0,"","Belum Terisi")</f>
        <v/>
      </c>
      <c r="K317" s="31"/>
      <c r="L317" s="31"/>
      <c r="M317" s="21" t="s">
        <v>667</v>
      </c>
      <c r="N317" s="21"/>
      <c r="O317" s="21"/>
      <c r="P317" s="21"/>
      <c r="Q317" s="21"/>
      <c r="R317" s="21"/>
      <c r="S317" s="21"/>
      <c r="T317" s="21"/>
      <c r="U317" s="21"/>
      <c r="V317" s="21"/>
    </row>
    <row r="318" spans="1:22" s="2" customFormat="1" ht="30" customHeight="1" x14ac:dyDescent="0.25">
      <c r="A318" s="591"/>
      <c r="B318" s="258" t="s">
        <v>253</v>
      </c>
      <c r="C318" s="255" t="s">
        <v>313</v>
      </c>
      <c r="D318" s="100">
        <f t="shared" si="43"/>
        <v>260</v>
      </c>
      <c r="E318" s="435" t="s">
        <v>171</v>
      </c>
      <c r="F318" s="707">
        <v>5</v>
      </c>
      <c r="G318" s="941" t="s">
        <v>142</v>
      </c>
      <c r="H318" s="922"/>
      <c r="I318" s="923"/>
      <c r="J318" s="198" t="str">
        <f>IF(F318="","Belum Terisi",IF(OR(F318=1,F318=5),"","CEK"))</f>
        <v/>
      </c>
      <c r="K318" s="31" t="str">
        <f t="shared" ref="K318" si="45">IF(J318="CEK","Inputan Tidak Sesuai","")</f>
        <v/>
      </c>
      <c r="L318" s="43"/>
      <c r="M318" s="21" t="s">
        <v>667</v>
      </c>
      <c r="N318" s="21"/>
      <c r="O318" s="21"/>
      <c r="P318" s="21"/>
      <c r="Q318" s="21"/>
      <c r="R318" s="21"/>
      <c r="S318" s="21"/>
      <c r="T318" s="21"/>
      <c r="U318" s="21"/>
      <c r="V318" s="21"/>
    </row>
    <row r="319" spans="1:22" s="2" customFormat="1" ht="30" customHeight="1" x14ac:dyDescent="0.25">
      <c r="A319" s="579" t="s">
        <v>320</v>
      </c>
      <c r="B319" s="269"/>
      <c r="C319" s="261"/>
      <c r="D319" s="460"/>
      <c r="E319" s="429"/>
      <c r="F319" s="736"/>
      <c r="G319" s="924"/>
      <c r="H319" s="925"/>
      <c r="I319" s="923"/>
      <c r="J319" s="198"/>
      <c r="K319" s="31"/>
      <c r="L319" s="43"/>
      <c r="M319" s="21" t="s">
        <v>667</v>
      </c>
      <c r="N319" s="21"/>
      <c r="O319" s="21"/>
      <c r="P319" s="21"/>
      <c r="Q319" s="21"/>
      <c r="R319" s="21"/>
      <c r="S319" s="21"/>
      <c r="T319" s="21"/>
      <c r="U319" s="21"/>
      <c r="V319" s="21"/>
    </row>
    <row r="320" spans="1:22" s="2" customFormat="1" ht="30" customHeight="1" x14ac:dyDescent="0.25">
      <c r="A320" s="593" t="str">
        <f>"B "&amp;(RIGHT(A570,3)+1)</f>
        <v>B 207</v>
      </c>
      <c r="B320" s="258" t="s">
        <v>41</v>
      </c>
      <c r="C320" s="273" t="s">
        <v>321</v>
      </c>
      <c r="D320" s="100">
        <f>D318+1</f>
        <v>261</v>
      </c>
      <c r="E320" s="475" t="s">
        <v>514</v>
      </c>
      <c r="F320" s="809"/>
      <c r="G320" s="927" t="s">
        <v>600</v>
      </c>
      <c r="H320" s="922" t="s">
        <v>538</v>
      </c>
      <c r="I320" s="923"/>
      <c r="J320" s="198" t="str">
        <f>IF(LEN(F320)&gt;0,"","Belum Terisi")</f>
        <v>Belum Terisi</v>
      </c>
      <c r="K320" s="31"/>
      <c r="L320" s="31"/>
      <c r="M320" s="21" t="s">
        <v>667</v>
      </c>
      <c r="N320" s="21"/>
      <c r="O320" s="21"/>
      <c r="P320" s="21"/>
      <c r="Q320" s="21"/>
      <c r="R320" s="21"/>
      <c r="S320" s="21"/>
      <c r="T320" s="21"/>
      <c r="U320" s="21"/>
      <c r="V320" s="21"/>
    </row>
    <row r="321" spans="1:22" s="2" customFormat="1" ht="30" customHeight="1" x14ac:dyDescent="0.25">
      <c r="A321" s="595"/>
      <c r="B321" s="258" t="s">
        <v>139</v>
      </c>
      <c r="C321" s="273" t="s">
        <v>320</v>
      </c>
      <c r="D321" s="100">
        <f>D320+1</f>
        <v>262</v>
      </c>
      <c r="E321" s="50">
        <f>IF(AND(F320="",F124=""),"Tidak Teridentifikasi",IF(AND(F320=0,F124=0),0,(F320/F124)))</f>
        <v>0</v>
      </c>
      <c r="F321" s="806">
        <f>IF(E321&lt;=20%,5,
IF(AND(E321&gt;20%,E321&lt;=40%),4,
IF(AND(E321&gt;40%,E321&lt;=60%),3,
IF(AND(E321&gt;60%,E321&lt;=80%),2,
IF(AND(E321&gt;80%,E321&lt;=100%),1,"Tidak Teridentifikasi")))))</f>
        <v>5</v>
      </c>
      <c r="G321" s="927" t="s">
        <v>600</v>
      </c>
      <c r="H321" s="922"/>
      <c r="I321" s="923"/>
      <c r="J321" s="198" t="str">
        <f>IF(F321="Tidak Teridentifikasi","CEK","")</f>
        <v/>
      </c>
      <c r="K321" s="31"/>
      <c r="L321" s="43"/>
      <c r="M321" s="21" t="s">
        <v>667</v>
      </c>
      <c r="N321" s="21"/>
      <c r="O321" s="21"/>
      <c r="P321" s="21"/>
      <c r="Q321" s="21"/>
      <c r="R321" s="21"/>
      <c r="S321" s="21"/>
      <c r="T321" s="21"/>
      <c r="U321" s="21"/>
      <c r="V321" s="21"/>
    </row>
    <row r="322" spans="1:22" s="2" customFormat="1" ht="30" customHeight="1" x14ac:dyDescent="0.25">
      <c r="A322" s="596" t="s">
        <v>1333</v>
      </c>
      <c r="B322" s="274" t="s">
        <v>322</v>
      </c>
      <c r="C322" s="275"/>
      <c r="D322" s="441"/>
      <c r="E322" s="429"/>
      <c r="F322" s="732"/>
      <c r="G322" s="924"/>
      <c r="H322" s="923">
        <v>3</v>
      </c>
      <c r="I322" s="923"/>
      <c r="J322" s="98"/>
      <c r="K322" s="31"/>
      <c r="L322" s="43"/>
      <c r="M322" s="21" t="s">
        <v>667</v>
      </c>
      <c r="N322" s="21"/>
      <c r="O322" s="21"/>
      <c r="P322" s="21"/>
      <c r="Q322" s="21"/>
      <c r="R322" s="21"/>
      <c r="S322" s="21"/>
      <c r="T322" s="21"/>
      <c r="U322" s="21"/>
      <c r="V322" s="21"/>
    </row>
    <row r="323" spans="1:22" s="2" customFormat="1" ht="30" customHeight="1" x14ac:dyDescent="0.25">
      <c r="A323" s="596" t="s">
        <v>1334</v>
      </c>
      <c r="B323" s="274" t="s">
        <v>324</v>
      </c>
      <c r="C323" s="275"/>
      <c r="D323" s="441"/>
      <c r="E323" s="429"/>
      <c r="F323" s="732"/>
      <c r="G323" s="924"/>
      <c r="H323" s="923"/>
      <c r="I323" s="923"/>
      <c r="J323" s="98"/>
      <c r="K323" s="31"/>
      <c r="L323" s="31"/>
      <c r="M323" s="21" t="s">
        <v>667</v>
      </c>
      <c r="N323" s="21"/>
      <c r="O323" s="21"/>
      <c r="P323" s="21"/>
      <c r="Q323" s="21"/>
      <c r="R323" s="21"/>
      <c r="S323" s="21"/>
      <c r="T323" s="21"/>
      <c r="U323" s="21"/>
      <c r="V323" s="21"/>
    </row>
    <row r="324" spans="1:22" s="2" customFormat="1" ht="30" customHeight="1" x14ac:dyDescent="0.25">
      <c r="A324" s="597" t="s">
        <v>325</v>
      </c>
      <c r="B324" s="276"/>
      <c r="C324" s="275"/>
      <c r="D324" s="441"/>
      <c r="E324" s="429"/>
      <c r="F324" s="732"/>
      <c r="G324" s="924"/>
      <c r="H324" s="928"/>
      <c r="I324" s="923"/>
      <c r="J324" s="98"/>
      <c r="K324" s="31"/>
      <c r="L324" s="43"/>
      <c r="M324" s="21" t="s">
        <v>667</v>
      </c>
      <c r="N324" s="21"/>
      <c r="O324" s="21"/>
      <c r="P324" s="21"/>
      <c r="Q324" s="21"/>
      <c r="R324" s="21"/>
      <c r="S324" s="21"/>
      <c r="T324" s="21"/>
      <c r="U324" s="21"/>
      <c r="V324" s="21"/>
    </row>
    <row r="325" spans="1:22" s="2" customFormat="1" ht="30" customHeight="1" x14ac:dyDescent="0.25">
      <c r="A325" s="598" t="s">
        <v>1335</v>
      </c>
      <c r="B325" s="277" t="s">
        <v>41</v>
      </c>
      <c r="C325" s="278" t="s">
        <v>326</v>
      </c>
      <c r="D325" s="434">
        <f>D321+1</f>
        <v>263</v>
      </c>
      <c r="E325" s="455" t="s">
        <v>171</v>
      </c>
      <c r="F325" s="805">
        <v>5</v>
      </c>
      <c r="G325" s="927" t="s">
        <v>602</v>
      </c>
      <c r="H325" s="928"/>
      <c r="I325" s="923"/>
      <c r="J325" s="198" t="str">
        <f>IF(F325="","Belum Terisi",IF(OR(F325=1,F325=5),"","CEK"))</f>
        <v/>
      </c>
      <c r="K325" s="31" t="str">
        <f t="shared" ref="K325" si="46">IF(J325="CEK","Inputan Tidak Sesuai","")</f>
        <v/>
      </c>
      <c r="L325" s="43"/>
      <c r="M325" s="21" t="s">
        <v>667</v>
      </c>
      <c r="N325" s="21"/>
      <c r="O325" s="21"/>
      <c r="P325" s="21"/>
      <c r="Q325" s="21"/>
      <c r="R325" s="21"/>
      <c r="S325" s="21"/>
      <c r="T325" s="21"/>
      <c r="U325" s="21"/>
      <c r="V325" s="21"/>
    </row>
    <row r="326" spans="1:22" s="2" customFormat="1" ht="49.9" customHeight="1" x14ac:dyDescent="0.25">
      <c r="A326" s="599"/>
      <c r="B326" s="277" t="s">
        <v>139</v>
      </c>
      <c r="C326" s="279" t="s">
        <v>327</v>
      </c>
      <c r="D326" s="434">
        <f>D325+1</f>
        <v>264</v>
      </c>
      <c r="E326" s="455" t="s">
        <v>174</v>
      </c>
      <c r="F326" s="772" t="s">
        <v>2814</v>
      </c>
      <c r="G326" s="927"/>
      <c r="H326" s="928"/>
      <c r="I326" s="923"/>
      <c r="J326" s="198" t="str">
        <f>IF(LEN(F326)&gt;0,"","Belum Terisi")</f>
        <v/>
      </c>
      <c r="K326" s="31"/>
      <c r="L326" s="43"/>
      <c r="M326" s="21" t="s">
        <v>667</v>
      </c>
      <c r="N326" s="21"/>
      <c r="O326" s="21"/>
      <c r="P326" s="21"/>
      <c r="Q326" s="21"/>
      <c r="R326" s="21"/>
      <c r="S326" s="21"/>
      <c r="T326" s="21"/>
      <c r="U326" s="21"/>
      <c r="V326" s="21"/>
    </row>
    <row r="327" spans="1:22" s="2" customFormat="1" ht="30" customHeight="1" x14ac:dyDescent="0.25">
      <c r="A327" s="599"/>
      <c r="B327" s="277" t="s">
        <v>251</v>
      </c>
      <c r="C327" s="278" t="s">
        <v>328</v>
      </c>
      <c r="D327" s="434">
        <f>D326+1</f>
        <v>265</v>
      </c>
      <c r="E327" s="455" t="s">
        <v>171</v>
      </c>
      <c r="F327" s="772">
        <v>5</v>
      </c>
      <c r="G327" s="927" t="s">
        <v>602</v>
      </c>
      <c r="H327" s="928"/>
      <c r="I327" s="923"/>
      <c r="J327" s="198" t="str">
        <f>IF(F327="","Belum Terisi",IF(AND(F325=1,OR(F327=3,F327=5)),"CEK",IF(OR(F327=1,F327=3,F327=5),"","CEK")))</f>
        <v/>
      </c>
      <c r="K327" s="31" t="str">
        <f>IF(J327="CEK","Tidak Terdapat Kearifan Budaya/Sosial Khas Desa","")</f>
        <v/>
      </c>
      <c r="L327" s="31"/>
      <c r="M327" s="21" t="s">
        <v>667</v>
      </c>
      <c r="N327" s="21"/>
      <c r="O327" s="21"/>
      <c r="P327" s="21"/>
      <c r="Q327" s="21"/>
      <c r="R327" s="21"/>
      <c r="S327" s="21"/>
      <c r="T327" s="21"/>
      <c r="U327" s="21"/>
      <c r="V327" s="21"/>
    </row>
    <row r="328" spans="1:22" s="2" customFormat="1" ht="49.9" customHeight="1" x14ac:dyDescent="0.25">
      <c r="A328" s="600"/>
      <c r="B328" s="277" t="s">
        <v>255</v>
      </c>
      <c r="C328" s="279" t="s">
        <v>329</v>
      </c>
      <c r="D328" s="434">
        <f>D327+1</f>
        <v>266</v>
      </c>
      <c r="E328" s="455" t="s">
        <v>174</v>
      </c>
      <c r="F328" s="807" t="s">
        <v>2814</v>
      </c>
      <c r="G328" s="927"/>
      <c r="H328" s="928"/>
      <c r="I328" s="923"/>
      <c r="J328" s="198" t="str">
        <f>IF(LEN(F328)&gt;0,"","Belum Terisi")</f>
        <v/>
      </c>
      <c r="K328" s="31"/>
      <c r="L328" s="43"/>
      <c r="M328" s="21" t="s">
        <v>667</v>
      </c>
      <c r="N328" s="21"/>
      <c r="O328" s="21"/>
      <c r="P328" s="21"/>
      <c r="Q328" s="21"/>
      <c r="R328" s="21"/>
      <c r="S328" s="21"/>
      <c r="T328" s="21"/>
      <c r="U328" s="21"/>
      <c r="V328" s="21"/>
    </row>
    <row r="329" spans="1:22" s="2" customFormat="1" ht="30" customHeight="1" x14ac:dyDescent="0.25">
      <c r="A329" s="597" t="s">
        <v>330</v>
      </c>
      <c r="B329" s="276"/>
      <c r="C329" s="280"/>
      <c r="D329" s="476"/>
      <c r="E329" s="477"/>
      <c r="F329" s="737"/>
      <c r="G329" s="927"/>
      <c r="H329" s="928"/>
      <c r="I329" s="923"/>
      <c r="J329" s="198"/>
      <c r="K329" s="31"/>
      <c r="L329" s="43"/>
      <c r="M329" s="21" t="s">
        <v>667</v>
      </c>
      <c r="N329" s="21"/>
      <c r="O329" s="21"/>
      <c r="P329" s="21"/>
      <c r="Q329" s="21"/>
      <c r="R329" s="21"/>
      <c r="S329" s="21"/>
      <c r="T329" s="21"/>
      <c r="U329" s="21"/>
      <c r="V329" s="21"/>
    </row>
    <row r="330" spans="1:22" s="2" customFormat="1" ht="30" customHeight="1" x14ac:dyDescent="0.25">
      <c r="A330" s="601" t="str">
        <f>"C "&amp;(RIGHT(A325,3)+1)</f>
        <v>C 102</v>
      </c>
      <c r="B330" s="281"/>
      <c r="C330" s="279" t="s">
        <v>331</v>
      </c>
      <c r="D330" s="434">
        <f>D328+1</f>
        <v>267</v>
      </c>
      <c r="E330" s="478" t="s">
        <v>171</v>
      </c>
      <c r="F330" s="738">
        <v>5</v>
      </c>
      <c r="G330" s="927" t="s">
        <v>603</v>
      </c>
      <c r="H330" s="923"/>
      <c r="I330" s="923"/>
      <c r="J330" s="198" t="str">
        <f>IF(F330="","Belum Terisi",IF(OR(F330=1,F330=5),"","CEK"))</f>
        <v/>
      </c>
      <c r="K330" s="31" t="str">
        <f t="shared" ref="K330" si="47">IF(J330="CEK","Inputan Tidak Sesuai","")</f>
        <v/>
      </c>
      <c r="L330" s="43"/>
      <c r="M330" s="21" t="s">
        <v>667</v>
      </c>
      <c r="N330" s="21"/>
      <c r="O330" s="21"/>
      <c r="P330" s="21"/>
      <c r="Q330" s="21"/>
      <c r="R330" s="21"/>
      <c r="S330" s="21"/>
      <c r="T330" s="21"/>
      <c r="U330" s="21"/>
      <c r="V330" s="21"/>
    </row>
    <row r="331" spans="1:22" s="2" customFormat="1" ht="30" customHeight="1" x14ac:dyDescent="0.25">
      <c r="A331" s="602" t="str">
        <f>"C "&amp;(RIGHT(A330,3)+1)</f>
        <v>C 103</v>
      </c>
      <c r="B331" s="282"/>
      <c r="C331" s="279" t="s">
        <v>333</v>
      </c>
      <c r="D331" s="430"/>
      <c r="E331" s="477"/>
      <c r="F331" s="737"/>
      <c r="G331" s="927"/>
      <c r="H331" s="928">
        <v>1</v>
      </c>
      <c r="I331" s="923"/>
      <c r="J331" s="98"/>
      <c r="K331" s="31"/>
      <c r="L331" s="43"/>
      <c r="M331" s="21" t="s">
        <v>667</v>
      </c>
      <c r="N331" s="21"/>
      <c r="O331" s="21"/>
      <c r="P331" s="21"/>
      <c r="Q331" s="21"/>
      <c r="R331" s="21"/>
      <c r="S331" s="21"/>
      <c r="T331" s="21"/>
      <c r="U331" s="21"/>
      <c r="V331" s="21"/>
    </row>
    <row r="332" spans="1:22" s="2" customFormat="1" ht="30" customHeight="1" x14ac:dyDescent="0.25">
      <c r="A332" s="599"/>
      <c r="B332" s="277" t="s">
        <v>41</v>
      </c>
      <c r="C332" s="279" t="s">
        <v>1336</v>
      </c>
      <c r="D332" s="434">
        <f>D330+1</f>
        <v>268</v>
      </c>
      <c r="E332" s="435" t="s">
        <v>171</v>
      </c>
      <c r="F332" s="705" t="s">
        <v>285</v>
      </c>
      <c r="G332" s="927"/>
      <c r="H332" s="928">
        <v>3</v>
      </c>
      <c r="I332" s="923"/>
      <c r="J332" s="198" t="str">
        <f>IF(F332="","Belum Terisi",IF(AND($F$330=1,F332="Ada"),"CEK",IF(AND($F$330=5,COUNTIF($F$332:$F$334,"Ada")=0),"CEK","")))</f>
        <v/>
      </c>
      <c r="K332" s="31" t="str">
        <f>IF(AND(J332="CEK",$F$330=1),"Tidak Ada Kegiatan Gotong Royong",IF(AND(J332="CEK",$F$330=5),"Ada Kegiatan Gotong Royong",""))</f>
        <v/>
      </c>
      <c r="L332" s="43"/>
      <c r="M332" s="21" t="s">
        <v>667</v>
      </c>
      <c r="N332" s="21"/>
      <c r="O332" s="21"/>
      <c r="P332" s="21"/>
      <c r="Q332" s="21"/>
      <c r="R332" s="21"/>
      <c r="S332" s="21"/>
      <c r="T332" s="21"/>
      <c r="U332" s="21"/>
      <c r="V332" s="21"/>
    </row>
    <row r="333" spans="1:22" s="2" customFormat="1" ht="30" customHeight="1" x14ac:dyDescent="0.25">
      <c r="A333" s="603"/>
      <c r="B333" s="277" t="s">
        <v>139</v>
      </c>
      <c r="C333" s="279" t="s">
        <v>1337</v>
      </c>
      <c r="D333" s="434">
        <f>D332+1</f>
        <v>269</v>
      </c>
      <c r="E333" s="435" t="s">
        <v>171</v>
      </c>
      <c r="F333" s="706" t="s">
        <v>285</v>
      </c>
      <c r="G333" s="927"/>
      <c r="H333" s="928">
        <v>5</v>
      </c>
      <c r="I333" s="923"/>
      <c r="J333" s="198" t="str">
        <f>IF(F333="","Belum Terisi",IF(AND($F$330=1,F333="Ada"),"CEK",IF(AND($F$330=5,COUNTIF($F$332:$F$334,"Ada")=0),"CEK","")))</f>
        <v/>
      </c>
      <c r="K333" s="31" t="str">
        <f>IF(AND(J333="CEK",$F$330=1),"Tidak Ada Kegiatan Gotong Royong",IF(AND(J333="CEK",$F$330=5),"Ada Kegiatan Gotong Royong",""))</f>
        <v/>
      </c>
      <c r="L333" s="43"/>
      <c r="M333" s="21" t="s">
        <v>667</v>
      </c>
      <c r="N333" s="21"/>
      <c r="O333" s="21"/>
      <c r="P333" s="21"/>
      <c r="Q333" s="21"/>
      <c r="R333" s="21"/>
      <c r="S333" s="21"/>
      <c r="T333" s="21"/>
      <c r="U333" s="21"/>
      <c r="V333" s="21"/>
    </row>
    <row r="334" spans="1:22" s="2" customFormat="1" ht="30" customHeight="1" x14ac:dyDescent="0.25">
      <c r="A334" s="603"/>
      <c r="B334" s="277" t="s">
        <v>251</v>
      </c>
      <c r="C334" s="279" t="s">
        <v>1338</v>
      </c>
      <c r="D334" s="434">
        <f>D333+1</f>
        <v>270</v>
      </c>
      <c r="E334" s="435" t="s">
        <v>171</v>
      </c>
      <c r="F334" s="707" t="s">
        <v>263</v>
      </c>
      <c r="G334" s="927"/>
      <c r="H334" s="928"/>
      <c r="I334" s="923"/>
      <c r="J334" s="198" t="str">
        <f>IF(F334="","Belum Terisi",IF(AND($F$330=1,F334="Ada"),"CEK",IF(AND($F$330=5,COUNTIF($F$332:$F$334,"Ada")=0),"CEK","")))</f>
        <v/>
      </c>
      <c r="K334" s="31" t="str">
        <f>IF(AND(J334="CEK",$F$330=1),"Tidak Ada Kegiatan Gotong Royong",IF(AND(J334="CEK",$F$330=5),"Ada Kegiatan Gotong Royong",""))</f>
        <v/>
      </c>
      <c r="L334" s="31"/>
      <c r="M334" s="21" t="s">
        <v>667</v>
      </c>
      <c r="N334" s="21"/>
      <c r="O334" s="21"/>
      <c r="P334" s="21"/>
      <c r="Q334" s="21"/>
      <c r="R334" s="21"/>
      <c r="S334" s="21"/>
      <c r="T334" s="21"/>
      <c r="U334" s="21"/>
      <c r="V334" s="21"/>
    </row>
    <row r="335" spans="1:22" s="2" customFormat="1" ht="30" customHeight="1" x14ac:dyDescent="0.25">
      <c r="A335" s="602" t="str">
        <f>"C "&amp;(RIGHT(A331,3)+1)</f>
        <v>C 104</v>
      </c>
      <c r="B335" s="277" t="s">
        <v>41</v>
      </c>
      <c r="C335" s="279" t="s">
        <v>332</v>
      </c>
      <c r="D335" s="434">
        <f>D334+1</f>
        <v>271</v>
      </c>
      <c r="E335" s="435" t="s">
        <v>171</v>
      </c>
      <c r="F335" s="705">
        <v>3</v>
      </c>
      <c r="G335" s="927" t="s">
        <v>603</v>
      </c>
      <c r="H335" s="942"/>
      <c r="I335" s="923"/>
      <c r="J335" s="198" t="str">
        <f>IF(F335="","Belum Terisi",IF(AND($F$330=1,F335&lt;&gt;1),"CEK",IF(AND($F$330=5,F335=1),"CEK",IF(OR(F335=1,F335=3,F335=5),"","CEK"))))</f>
        <v/>
      </c>
      <c r="K335" s="31" t="str">
        <f>IF(AND(J335="CEK",F330=1),"Tidak Terdapat Kegiatan Gotong Royong",IF(AND(J335="CEK",F330=5),"Terdapat Kegiatan Gotong Royong",""))</f>
        <v/>
      </c>
      <c r="L335" s="43"/>
      <c r="M335" s="21" t="s">
        <v>667</v>
      </c>
      <c r="N335" s="21"/>
      <c r="O335" s="21"/>
      <c r="P335" s="21"/>
      <c r="Q335" s="21"/>
      <c r="R335" s="21"/>
      <c r="S335" s="21"/>
      <c r="T335" s="21"/>
      <c r="U335" s="21"/>
      <c r="V335" s="21"/>
    </row>
    <row r="336" spans="1:22" s="2" customFormat="1" ht="30" customHeight="1" x14ac:dyDescent="0.25">
      <c r="A336" s="604"/>
      <c r="B336" s="277" t="s">
        <v>139</v>
      </c>
      <c r="C336" s="279" t="s">
        <v>334</v>
      </c>
      <c r="D336" s="434">
        <f>D335+1</f>
        <v>272</v>
      </c>
      <c r="E336" s="435" t="s">
        <v>171</v>
      </c>
      <c r="F336" s="707">
        <v>5</v>
      </c>
      <c r="G336" s="927" t="s">
        <v>603</v>
      </c>
      <c r="H336" s="928"/>
      <c r="I336" s="923"/>
      <c r="J336" s="198" t="str">
        <f>IF(F336="","Belum Terisi",IF(AND($F$330=1,F336&lt;&gt;1),"CEK",IF(AND($F$330=5,F336=1),"CEK",IF(OR(F336=1,F336=3,F336=5),"","CEK"))))</f>
        <v/>
      </c>
      <c r="K336" s="31" t="str">
        <f>IF(AND(J336="CEK",F330=1),"Tidak Terdapat Kegiatan Gotong Royong",IF(AND(J336="CEK",F330=5),"Terdapat Kegiatan Gotong Royong",""))</f>
        <v/>
      </c>
      <c r="L336" s="43"/>
      <c r="M336" s="21" t="s">
        <v>667</v>
      </c>
      <c r="N336" s="21"/>
      <c r="O336" s="21"/>
      <c r="P336" s="21"/>
      <c r="Q336" s="21"/>
      <c r="R336" s="21"/>
      <c r="S336" s="21"/>
      <c r="T336" s="21"/>
      <c r="U336" s="21"/>
      <c r="V336" s="21"/>
    </row>
    <row r="337" spans="1:22" s="2" customFormat="1" ht="30" customHeight="1" x14ac:dyDescent="0.25">
      <c r="A337" s="605" t="s">
        <v>335</v>
      </c>
      <c r="B337" s="281"/>
      <c r="C337" s="283"/>
      <c r="D337" s="479"/>
      <c r="E337" s="477"/>
      <c r="F337" s="737"/>
      <c r="G337" s="924"/>
      <c r="H337" s="928"/>
      <c r="I337" s="923"/>
      <c r="J337" s="98"/>
      <c r="K337" s="31"/>
      <c r="L337" s="43"/>
      <c r="M337" s="21" t="s">
        <v>667</v>
      </c>
      <c r="N337" s="21"/>
      <c r="O337" s="21"/>
      <c r="P337" s="21"/>
      <c r="Q337" s="21"/>
      <c r="R337" s="21"/>
      <c r="S337" s="21"/>
      <c r="T337" s="21"/>
      <c r="U337" s="21"/>
      <c r="V337" s="21"/>
    </row>
    <row r="338" spans="1:22" s="2" customFormat="1" ht="30" customHeight="1" x14ac:dyDescent="0.25">
      <c r="A338" s="602" t="str">
        <f>"C "&amp;(RIGHT(A335,3)+1)</f>
        <v>C 105</v>
      </c>
      <c r="B338" s="282"/>
      <c r="C338" s="279" t="s">
        <v>336</v>
      </c>
      <c r="D338" s="479"/>
      <c r="E338" s="477"/>
      <c r="F338" s="737"/>
      <c r="G338" s="927"/>
      <c r="H338" s="928"/>
      <c r="I338" s="923"/>
      <c r="J338" s="98"/>
      <c r="K338" s="31"/>
      <c r="L338" s="43"/>
      <c r="M338" s="21" t="s">
        <v>667</v>
      </c>
      <c r="N338" s="21"/>
      <c r="O338" s="21"/>
      <c r="P338" s="21"/>
      <c r="Q338" s="21"/>
      <c r="R338" s="21"/>
      <c r="S338" s="21"/>
      <c r="T338" s="21"/>
      <c r="U338" s="21"/>
      <c r="V338" s="21"/>
    </row>
    <row r="339" spans="1:22" s="2" customFormat="1" ht="30" customHeight="1" x14ac:dyDescent="0.25">
      <c r="A339" s="603"/>
      <c r="B339" s="277" t="s">
        <v>41</v>
      </c>
      <c r="C339" s="279" t="s">
        <v>1339</v>
      </c>
      <c r="D339" s="480">
        <f>D336+1</f>
        <v>273</v>
      </c>
      <c r="E339" s="435" t="s">
        <v>171</v>
      </c>
      <c r="F339" s="686">
        <v>2</v>
      </c>
      <c r="G339" s="927" t="s">
        <v>604</v>
      </c>
      <c r="H339" s="928"/>
      <c r="I339" s="923"/>
      <c r="J339" s="198" t="str">
        <f>IF(F339="","Belum Terisi",IF(AND(F339&gt;=1,F339&lt;=5),"","CEK"))</f>
        <v/>
      </c>
      <c r="K339" s="31" t="str">
        <f>IF(J339="CEK","Inputan Tidak Sesuai","")</f>
        <v/>
      </c>
      <c r="L339" s="43"/>
      <c r="M339" s="21" t="s">
        <v>667</v>
      </c>
      <c r="N339" s="21"/>
      <c r="O339" s="21"/>
      <c r="P339" s="21"/>
      <c r="Q339" s="21"/>
      <c r="R339" s="21"/>
      <c r="S339" s="21"/>
      <c r="T339" s="21"/>
      <c r="U339" s="21"/>
      <c r="V339" s="21"/>
    </row>
    <row r="340" spans="1:22" s="2" customFormat="1" ht="30" customHeight="1" x14ac:dyDescent="0.25">
      <c r="A340" s="603"/>
      <c r="B340" s="277" t="s">
        <v>139</v>
      </c>
      <c r="C340" s="279" t="s">
        <v>1340</v>
      </c>
      <c r="D340" s="480">
        <f t="shared" ref="D340:D347" si="48">D339+1</f>
        <v>274</v>
      </c>
      <c r="E340" s="435" t="s">
        <v>171</v>
      </c>
      <c r="F340" s="686">
        <v>2</v>
      </c>
      <c r="G340" s="927" t="s">
        <v>604</v>
      </c>
      <c r="H340" s="928"/>
      <c r="I340" s="923"/>
      <c r="J340" s="198" t="str">
        <f t="shared" ref="J340:J346" si="49">IF(F340="","Belum Terisi",IF(AND(F340&gt;=1,F340&lt;=5),"","CEK"))</f>
        <v/>
      </c>
      <c r="K340" s="31" t="str">
        <f t="shared" ref="K340:K346" si="50">IF(J340="CEK","Inputan Tidak Sesuai","")</f>
        <v/>
      </c>
      <c r="L340" s="31"/>
      <c r="M340" s="21" t="s">
        <v>667</v>
      </c>
      <c r="N340" s="21"/>
      <c r="O340" s="21"/>
      <c r="P340" s="21"/>
      <c r="Q340" s="21"/>
      <c r="R340" s="21"/>
      <c r="S340" s="21"/>
      <c r="T340" s="21"/>
      <c r="U340" s="21"/>
      <c r="V340" s="21"/>
    </row>
    <row r="341" spans="1:22" s="2" customFormat="1" ht="30" customHeight="1" x14ac:dyDescent="0.25">
      <c r="A341" s="599"/>
      <c r="B341" s="277" t="s">
        <v>251</v>
      </c>
      <c r="C341" s="279" t="s">
        <v>1341</v>
      </c>
      <c r="D341" s="480">
        <f t="shared" si="48"/>
        <v>275</v>
      </c>
      <c r="E341" s="435" t="s">
        <v>171</v>
      </c>
      <c r="F341" s="686">
        <v>1</v>
      </c>
      <c r="G341" s="927" t="s">
        <v>604</v>
      </c>
      <c r="H341" s="928"/>
      <c r="I341" s="923"/>
      <c r="J341" s="198" t="str">
        <f t="shared" si="49"/>
        <v/>
      </c>
      <c r="K341" s="31" t="str">
        <f t="shared" si="50"/>
        <v/>
      </c>
      <c r="L341" s="43"/>
      <c r="M341" s="21" t="s">
        <v>667</v>
      </c>
      <c r="N341" s="21"/>
      <c r="O341" s="21"/>
      <c r="P341" s="21"/>
      <c r="Q341" s="21"/>
      <c r="R341" s="21"/>
      <c r="S341" s="21"/>
      <c r="T341" s="21"/>
      <c r="U341" s="21"/>
      <c r="V341" s="21"/>
    </row>
    <row r="342" spans="1:22" s="2" customFormat="1" ht="30" customHeight="1" x14ac:dyDescent="0.25">
      <c r="A342" s="599"/>
      <c r="B342" s="277" t="s">
        <v>255</v>
      </c>
      <c r="C342" s="279" t="s">
        <v>1342</v>
      </c>
      <c r="D342" s="480">
        <f t="shared" si="48"/>
        <v>276</v>
      </c>
      <c r="E342" s="435" t="s">
        <v>171</v>
      </c>
      <c r="F342" s="686">
        <v>1</v>
      </c>
      <c r="G342" s="927" t="s">
        <v>604</v>
      </c>
      <c r="H342" s="928"/>
      <c r="I342" s="923"/>
      <c r="J342" s="198" t="str">
        <f t="shared" si="49"/>
        <v/>
      </c>
      <c r="K342" s="31" t="str">
        <f t="shared" si="50"/>
        <v/>
      </c>
      <c r="L342" s="43"/>
      <c r="M342" s="21" t="s">
        <v>667</v>
      </c>
      <c r="N342" s="21"/>
      <c r="O342" s="21"/>
      <c r="P342" s="21"/>
      <c r="Q342" s="21"/>
      <c r="R342" s="21"/>
      <c r="S342" s="21"/>
      <c r="T342" s="21"/>
      <c r="U342" s="21"/>
      <c r="V342" s="21"/>
    </row>
    <row r="343" spans="1:22" s="2" customFormat="1" ht="30" customHeight="1" x14ac:dyDescent="0.25">
      <c r="A343" s="599"/>
      <c r="B343" s="284" t="s">
        <v>252</v>
      </c>
      <c r="C343" s="279" t="s">
        <v>1343</v>
      </c>
      <c r="D343" s="480">
        <f t="shared" si="48"/>
        <v>277</v>
      </c>
      <c r="E343" s="435" t="s">
        <v>171</v>
      </c>
      <c r="F343" s="686">
        <v>2</v>
      </c>
      <c r="G343" s="927" t="s">
        <v>604</v>
      </c>
      <c r="H343" s="928"/>
      <c r="I343" s="923"/>
      <c r="J343" s="198" t="str">
        <f t="shared" si="49"/>
        <v/>
      </c>
      <c r="K343" s="31" t="str">
        <f t="shared" si="50"/>
        <v/>
      </c>
      <c r="L343" s="43"/>
      <c r="M343" s="21" t="s">
        <v>667</v>
      </c>
      <c r="N343" s="21"/>
      <c r="O343" s="21"/>
      <c r="P343" s="21"/>
      <c r="Q343" s="21"/>
      <c r="R343" s="21"/>
      <c r="S343" s="21"/>
      <c r="T343" s="21"/>
      <c r="U343" s="21"/>
      <c r="V343" s="21"/>
    </row>
    <row r="344" spans="1:22" s="2" customFormat="1" ht="30" customHeight="1" x14ac:dyDescent="0.25">
      <c r="A344" s="599"/>
      <c r="B344" s="284" t="s">
        <v>253</v>
      </c>
      <c r="C344" s="279" t="s">
        <v>1344</v>
      </c>
      <c r="D344" s="480">
        <f t="shared" si="48"/>
        <v>278</v>
      </c>
      <c r="E344" s="435" t="s">
        <v>171</v>
      </c>
      <c r="F344" s="686">
        <v>1</v>
      </c>
      <c r="G344" s="927" t="s">
        <v>604</v>
      </c>
      <c r="H344" s="928"/>
      <c r="I344" s="923"/>
      <c r="J344" s="198" t="str">
        <f t="shared" si="49"/>
        <v/>
      </c>
      <c r="K344" s="31" t="str">
        <f t="shared" si="50"/>
        <v/>
      </c>
      <c r="L344" s="31"/>
      <c r="M344" s="21" t="s">
        <v>667</v>
      </c>
      <c r="N344" s="21"/>
      <c r="O344" s="21"/>
      <c r="P344" s="21"/>
      <c r="Q344" s="21"/>
      <c r="R344" s="21"/>
      <c r="S344" s="21"/>
      <c r="T344" s="21"/>
      <c r="U344" s="21"/>
      <c r="V344" s="21"/>
    </row>
    <row r="345" spans="1:22" s="2" customFormat="1" ht="30" customHeight="1" x14ac:dyDescent="0.25">
      <c r="A345" s="599"/>
      <c r="B345" s="284" t="s">
        <v>254</v>
      </c>
      <c r="C345" s="279" t="s">
        <v>1345</v>
      </c>
      <c r="D345" s="480">
        <f t="shared" si="48"/>
        <v>279</v>
      </c>
      <c r="E345" s="435" t="s">
        <v>171</v>
      </c>
      <c r="F345" s="686">
        <v>1</v>
      </c>
      <c r="G345" s="927" t="s">
        <v>604</v>
      </c>
      <c r="H345" s="928"/>
      <c r="I345" s="923"/>
      <c r="J345" s="198" t="str">
        <f t="shared" si="49"/>
        <v/>
      </c>
      <c r="K345" s="31" t="str">
        <f t="shared" si="50"/>
        <v/>
      </c>
      <c r="L345" s="43"/>
      <c r="M345" s="21" t="s">
        <v>667</v>
      </c>
      <c r="N345" s="21"/>
      <c r="O345" s="21"/>
      <c r="P345" s="21"/>
      <c r="Q345" s="21"/>
      <c r="R345" s="21"/>
      <c r="S345" s="21"/>
      <c r="T345" s="21"/>
      <c r="U345" s="21"/>
      <c r="V345" s="21"/>
    </row>
    <row r="346" spans="1:22" s="2" customFormat="1" ht="30" customHeight="1" x14ac:dyDescent="0.25">
      <c r="A346" s="600"/>
      <c r="B346" s="285" t="s">
        <v>256</v>
      </c>
      <c r="C346" s="286" t="s">
        <v>1346</v>
      </c>
      <c r="D346" s="480">
        <f t="shared" si="48"/>
        <v>280</v>
      </c>
      <c r="E346" s="435" t="s">
        <v>171</v>
      </c>
      <c r="F346" s="686">
        <v>2</v>
      </c>
      <c r="G346" s="927" t="s">
        <v>604</v>
      </c>
      <c r="H346" s="928"/>
      <c r="I346" s="923"/>
      <c r="J346" s="198" t="str">
        <f t="shared" si="49"/>
        <v/>
      </c>
      <c r="K346" s="31" t="str">
        <f t="shared" si="50"/>
        <v/>
      </c>
      <c r="L346" s="43"/>
      <c r="M346" s="21" t="s">
        <v>667</v>
      </c>
      <c r="N346" s="21"/>
      <c r="O346" s="21"/>
      <c r="P346" s="21"/>
      <c r="Q346" s="21"/>
      <c r="R346" s="21"/>
      <c r="S346" s="21"/>
      <c r="T346" s="21"/>
      <c r="U346" s="21"/>
      <c r="V346" s="21"/>
    </row>
    <row r="347" spans="1:22" s="2" customFormat="1" ht="30" customHeight="1" x14ac:dyDescent="0.25">
      <c r="A347" s="606" t="str">
        <f>"C "&amp;(RIGHT(A338,3)+1)</f>
        <v>C 106</v>
      </c>
      <c r="B347" s="287"/>
      <c r="C347" s="286" t="s">
        <v>337</v>
      </c>
      <c r="D347" s="480">
        <f t="shared" si="48"/>
        <v>281</v>
      </c>
      <c r="E347" s="51">
        <f>(F339+F340+F341+F342+F343+F344+F345+F346)/8</f>
        <v>1.5</v>
      </c>
      <c r="F347" s="739">
        <f>IF(E347&lt;1.5,1,
IF(AND(E347&gt;=1.5,E347&lt;2.5),2,
IF(AND(E347&gt;=2.5,E347&lt;3.5),3,
IF(AND(E347&gt;=3.5,E347&lt;4.5),4,
IF(AND(E347&gt;=4.5,E347&lt;=5),5,"Tidak Teridentifikasi")))))</f>
        <v>2</v>
      </c>
      <c r="G347" s="927" t="s">
        <v>604</v>
      </c>
      <c r="H347" s="928"/>
      <c r="I347" s="923"/>
      <c r="J347" s="198" t="str">
        <f t="shared" ref="J347" si="51">IF(LEN(F347)&gt;0,"","Belum Terisi")</f>
        <v/>
      </c>
      <c r="K347" s="31"/>
      <c r="L347" s="43"/>
      <c r="M347" s="21" t="s">
        <v>667</v>
      </c>
      <c r="N347" s="21"/>
      <c r="O347" s="21"/>
      <c r="P347" s="21"/>
      <c r="Q347" s="21"/>
      <c r="R347" s="21"/>
      <c r="S347" s="21"/>
      <c r="T347" s="21"/>
      <c r="U347" s="21"/>
      <c r="V347" s="21"/>
    </row>
    <row r="348" spans="1:22" s="2" customFormat="1" ht="30" customHeight="1" x14ac:dyDescent="0.25">
      <c r="A348" s="607" t="s">
        <v>338</v>
      </c>
      <c r="B348" s="287"/>
      <c r="C348" s="288"/>
      <c r="D348" s="481"/>
      <c r="E348" s="38"/>
      <c r="F348" s="714"/>
      <c r="G348" s="927"/>
      <c r="H348" s="928"/>
      <c r="I348" s="923"/>
      <c r="J348" s="198"/>
      <c r="K348" s="31"/>
      <c r="L348" s="43"/>
      <c r="M348" s="21"/>
      <c r="N348" s="21"/>
      <c r="O348" s="21"/>
      <c r="P348" s="21"/>
      <c r="Q348" s="21"/>
      <c r="R348" s="21"/>
      <c r="S348" s="21"/>
      <c r="T348" s="21"/>
      <c r="U348" s="21"/>
      <c r="V348" s="21"/>
    </row>
    <row r="349" spans="1:22" s="2" customFormat="1" ht="30" customHeight="1" x14ac:dyDescent="0.25">
      <c r="A349" s="602" t="str">
        <f>"C "&amp;(RIGHT(A347,3)+1)</f>
        <v>C 107</v>
      </c>
      <c r="B349" s="285" t="s">
        <v>41</v>
      </c>
      <c r="C349" s="862" t="s">
        <v>1354</v>
      </c>
      <c r="D349" s="100">
        <f>D347+1</f>
        <v>282</v>
      </c>
      <c r="E349" s="427" t="s">
        <v>171</v>
      </c>
      <c r="F349" s="699" t="s">
        <v>263</v>
      </c>
      <c r="G349" s="924"/>
      <c r="H349" s="922"/>
      <c r="I349" s="923"/>
      <c r="J349" s="198" t="str">
        <f>IF(LEN(F349)&gt;0,"","Belum Terisi")</f>
        <v/>
      </c>
      <c r="K349" s="31"/>
      <c r="L349" s="43"/>
      <c r="M349" s="21" t="s">
        <v>667</v>
      </c>
      <c r="N349" s="847" t="s">
        <v>668</v>
      </c>
      <c r="O349" s="21"/>
      <c r="P349" s="21"/>
      <c r="Q349" s="21"/>
      <c r="R349" s="21"/>
      <c r="S349" s="21"/>
      <c r="T349" s="21"/>
      <c r="U349" s="21"/>
      <c r="V349" s="21"/>
    </row>
    <row r="350" spans="1:22" s="2" customFormat="1" ht="30" customHeight="1" x14ac:dyDescent="0.25">
      <c r="A350" s="598"/>
      <c r="B350" s="285" t="s">
        <v>139</v>
      </c>
      <c r="C350" s="286" t="s">
        <v>1347</v>
      </c>
      <c r="D350" s="100">
        <f t="shared" ref="D350:D363" si="52">D349+1</f>
        <v>283</v>
      </c>
      <c r="E350" s="435" t="s">
        <v>171</v>
      </c>
      <c r="F350" s="706" t="s">
        <v>263</v>
      </c>
      <c r="G350" s="924"/>
      <c r="H350" s="922"/>
      <c r="I350" s="923"/>
      <c r="J350" s="198" t="str">
        <f t="shared" ref="J350:J356" si="53">IF(F350="","Belum Terisi",IF(AND($F$349="tidak ada",F350="ada"),"CEK",IF(AND($F$349="ada",COUNTIF($F$350:$F$356,"Tidak ada")=7),"CEK","")))</f>
        <v/>
      </c>
      <c r="K350" s="31" t="str">
        <f t="shared" ref="K350:K356" si="54">IF(J350="CEK",$F$349&amp;"  Koflik","")</f>
        <v/>
      </c>
      <c r="L350" s="43"/>
      <c r="M350" s="21" t="s">
        <v>667</v>
      </c>
      <c r="N350" s="21" t="s">
        <v>668</v>
      </c>
      <c r="O350" s="21"/>
      <c r="P350" s="21"/>
      <c r="Q350" s="21"/>
      <c r="R350" s="21"/>
      <c r="S350" s="21"/>
      <c r="T350" s="21"/>
      <c r="U350" s="21"/>
      <c r="V350" s="21"/>
    </row>
    <row r="351" spans="1:22" s="2" customFormat="1" ht="30" customHeight="1" x14ac:dyDescent="0.25">
      <c r="A351" s="599"/>
      <c r="B351" s="285" t="s">
        <v>251</v>
      </c>
      <c r="C351" s="286" t="s">
        <v>1348</v>
      </c>
      <c r="D351" s="100">
        <f t="shared" si="52"/>
        <v>284</v>
      </c>
      <c r="E351" s="435" t="s">
        <v>171</v>
      </c>
      <c r="F351" s="706" t="s">
        <v>263</v>
      </c>
      <c r="G351" s="924"/>
      <c r="H351" s="922"/>
      <c r="I351" s="923"/>
      <c r="J351" s="198" t="str">
        <f t="shared" si="53"/>
        <v/>
      </c>
      <c r="K351" s="31" t="str">
        <f t="shared" si="54"/>
        <v/>
      </c>
      <c r="L351" s="43"/>
      <c r="M351" s="21" t="s">
        <v>667</v>
      </c>
      <c r="N351" s="21" t="s">
        <v>668</v>
      </c>
      <c r="O351" s="21"/>
      <c r="P351" s="21"/>
      <c r="Q351" s="21"/>
      <c r="R351" s="21"/>
      <c r="S351" s="21"/>
      <c r="T351" s="21"/>
      <c r="U351" s="21"/>
      <c r="V351" s="21"/>
    </row>
    <row r="352" spans="1:22" s="2" customFormat="1" ht="30" customHeight="1" x14ac:dyDescent="0.25">
      <c r="A352" s="599"/>
      <c r="B352" s="285" t="s">
        <v>255</v>
      </c>
      <c r="C352" s="286" t="s">
        <v>1349</v>
      </c>
      <c r="D352" s="100">
        <f t="shared" si="52"/>
        <v>285</v>
      </c>
      <c r="E352" s="435" t="s">
        <v>171</v>
      </c>
      <c r="F352" s="706" t="s">
        <v>263</v>
      </c>
      <c r="G352" s="924"/>
      <c r="H352" s="922"/>
      <c r="I352" s="923"/>
      <c r="J352" s="198" t="str">
        <f t="shared" si="53"/>
        <v/>
      </c>
      <c r="K352" s="31" t="str">
        <f t="shared" si="54"/>
        <v/>
      </c>
      <c r="L352" s="43"/>
      <c r="M352" s="21" t="s">
        <v>667</v>
      </c>
      <c r="N352" s="21" t="s">
        <v>668</v>
      </c>
      <c r="O352" s="21"/>
      <c r="P352" s="21"/>
      <c r="Q352" s="21"/>
      <c r="R352" s="21"/>
      <c r="S352" s="21"/>
      <c r="T352" s="21"/>
      <c r="U352" s="21"/>
      <c r="V352" s="21"/>
    </row>
    <row r="353" spans="1:22" s="2" customFormat="1" ht="30" customHeight="1" x14ac:dyDescent="0.25">
      <c r="A353" s="599"/>
      <c r="B353" s="285" t="s">
        <v>252</v>
      </c>
      <c r="C353" s="286" t="s">
        <v>1350</v>
      </c>
      <c r="D353" s="100">
        <f t="shared" si="52"/>
        <v>286</v>
      </c>
      <c r="E353" s="435" t="s">
        <v>171</v>
      </c>
      <c r="F353" s="706" t="s">
        <v>263</v>
      </c>
      <c r="G353" s="924"/>
      <c r="H353" s="922"/>
      <c r="I353" s="923"/>
      <c r="J353" s="198" t="str">
        <f t="shared" si="53"/>
        <v/>
      </c>
      <c r="K353" s="31" t="str">
        <f t="shared" si="54"/>
        <v/>
      </c>
      <c r="L353" s="43"/>
      <c r="M353" s="21" t="s">
        <v>667</v>
      </c>
      <c r="N353" s="21" t="s">
        <v>668</v>
      </c>
      <c r="O353" s="21"/>
      <c r="P353" s="21"/>
      <c r="Q353" s="21"/>
      <c r="R353" s="21"/>
      <c r="S353" s="21"/>
      <c r="T353" s="21"/>
      <c r="U353" s="21"/>
      <c r="V353" s="21"/>
    </row>
    <row r="354" spans="1:22" s="2" customFormat="1" ht="30" customHeight="1" x14ac:dyDescent="0.25">
      <c r="A354" s="599"/>
      <c r="B354" s="285" t="s">
        <v>253</v>
      </c>
      <c r="C354" s="286" t="s">
        <v>1351</v>
      </c>
      <c r="D354" s="100">
        <f t="shared" si="52"/>
        <v>287</v>
      </c>
      <c r="E354" s="435" t="s">
        <v>171</v>
      </c>
      <c r="F354" s="706" t="s">
        <v>263</v>
      </c>
      <c r="G354" s="924"/>
      <c r="H354" s="922"/>
      <c r="I354" s="923"/>
      <c r="J354" s="198" t="str">
        <f t="shared" si="53"/>
        <v/>
      </c>
      <c r="K354" s="31" t="str">
        <f t="shared" si="54"/>
        <v/>
      </c>
      <c r="L354" s="43"/>
      <c r="M354" s="21" t="s">
        <v>667</v>
      </c>
      <c r="N354" s="21" t="s">
        <v>668</v>
      </c>
      <c r="O354" s="21"/>
      <c r="P354" s="21"/>
      <c r="Q354" s="21"/>
      <c r="R354" s="21"/>
      <c r="S354" s="21"/>
      <c r="T354" s="21"/>
      <c r="U354" s="21"/>
      <c r="V354" s="21"/>
    </row>
    <row r="355" spans="1:22" s="2" customFormat="1" ht="30" customHeight="1" x14ac:dyDescent="0.25">
      <c r="A355" s="599"/>
      <c r="B355" s="285" t="s">
        <v>254</v>
      </c>
      <c r="C355" s="286" t="s">
        <v>1352</v>
      </c>
      <c r="D355" s="100">
        <f t="shared" si="52"/>
        <v>288</v>
      </c>
      <c r="E355" s="435" t="s">
        <v>171</v>
      </c>
      <c r="F355" s="706" t="s">
        <v>263</v>
      </c>
      <c r="G355" s="924"/>
      <c r="H355" s="922"/>
      <c r="I355" s="923"/>
      <c r="J355" s="198" t="str">
        <f t="shared" si="53"/>
        <v/>
      </c>
      <c r="K355" s="31" t="str">
        <f t="shared" si="54"/>
        <v/>
      </c>
      <c r="L355" s="43"/>
      <c r="M355" s="21" t="s">
        <v>667</v>
      </c>
      <c r="N355" s="21" t="s">
        <v>668</v>
      </c>
      <c r="O355" s="21"/>
      <c r="P355" s="21"/>
      <c r="Q355" s="21"/>
      <c r="R355" s="21"/>
      <c r="S355" s="21"/>
      <c r="T355" s="21"/>
      <c r="U355" s="21"/>
      <c r="V355" s="21"/>
    </row>
    <row r="356" spans="1:22" s="2" customFormat="1" ht="30" customHeight="1" x14ac:dyDescent="0.25">
      <c r="A356" s="600"/>
      <c r="B356" s="285" t="s">
        <v>256</v>
      </c>
      <c r="C356" s="286" t="s">
        <v>1353</v>
      </c>
      <c r="D356" s="100">
        <f t="shared" si="52"/>
        <v>289</v>
      </c>
      <c r="E356" s="435" t="s">
        <v>171</v>
      </c>
      <c r="F356" s="707" t="s">
        <v>263</v>
      </c>
      <c r="G356" s="924"/>
      <c r="H356" s="922"/>
      <c r="I356" s="923"/>
      <c r="J356" s="198" t="str">
        <f t="shared" si="53"/>
        <v/>
      </c>
      <c r="K356" s="31" t="str">
        <f t="shared" si="54"/>
        <v/>
      </c>
      <c r="L356" s="43"/>
      <c r="M356" s="21" t="s">
        <v>667</v>
      </c>
      <c r="N356" s="21" t="s">
        <v>668</v>
      </c>
      <c r="O356" s="21"/>
      <c r="P356" s="21"/>
      <c r="Q356" s="21"/>
      <c r="R356" s="21"/>
      <c r="S356" s="21"/>
      <c r="T356" s="21"/>
      <c r="U356" s="21"/>
      <c r="V356" s="21"/>
    </row>
    <row r="357" spans="1:22" s="2" customFormat="1" ht="30" customHeight="1" x14ac:dyDescent="0.25">
      <c r="A357" s="602" t="str">
        <f>"C "&amp;(RIGHT(A349,3)+1)</f>
        <v>C 108</v>
      </c>
      <c r="B357" s="285" t="s">
        <v>41</v>
      </c>
      <c r="C357" s="862" t="s">
        <v>1355</v>
      </c>
      <c r="D357" s="100">
        <f t="shared" si="52"/>
        <v>290</v>
      </c>
      <c r="E357" s="427" t="s">
        <v>171</v>
      </c>
      <c r="F357" s="699" t="s">
        <v>263</v>
      </c>
      <c r="G357" s="924"/>
      <c r="H357" s="922"/>
      <c r="I357" s="923"/>
      <c r="J357" s="198" t="str">
        <f>IF(LEN(F357)&gt;0,"","Belum Terisi")</f>
        <v/>
      </c>
      <c r="K357" s="31"/>
      <c r="L357" s="43"/>
      <c r="M357" s="21" t="s">
        <v>667</v>
      </c>
      <c r="N357" s="21" t="s">
        <v>668</v>
      </c>
      <c r="O357" s="21"/>
      <c r="P357" s="21"/>
      <c r="Q357" s="21"/>
      <c r="R357" s="21"/>
      <c r="S357" s="21"/>
      <c r="T357" s="21"/>
      <c r="U357" s="21"/>
      <c r="V357" s="21"/>
    </row>
    <row r="358" spans="1:22" s="2" customFormat="1" ht="30" customHeight="1" x14ac:dyDescent="0.25">
      <c r="A358" s="598"/>
      <c r="B358" s="285" t="s">
        <v>139</v>
      </c>
      <c r="C358" s="286" t="s">
        <v>1356</v>
      </c>
      <c r="D358" s="100">
        <f t="shared" si="52"/>
        <v>291</v>
      </c>
      <c r="E358" s="427" t="s">
        <v>63</v>
      </c>
      <c r="F358" s="718">
        <v>0</v>
      </c>
      <c r="G358" s="924"/>
      <c r="H358" s="922" t="s">
        <v>147</v>
      </c>
      <c r="I358" s="923"/>
      <c r="J358" s="198" t="str">
        <f>IF(F358="","Belum Terisi",IF(AND($F$357="ada",SUM($F$358:$F$362)=0),"CEK",IF(AND($F$357="Tidak ada",SUM($F$358:$F$362&lt;&gt;0)),"CEK","")))</f>
        <v/>
      </c>
      <c r="K358" s="31" t="str">
        <f>IF(J358="cek",$F$357&amp;" Konflik Lahan","")</f>
        <v/>
      </c>
      <c r="L358" s="31"/>
      <c r="M358" s="21" t="s">
        <v>667</v>
      </c>
      <c r="N358" s="21" t="s">
        <v>668</v>
      </c>
      <c r="O358" s="21"/>
      <c r="P358" s="21"/>
      <c r="Q358" s="21"/>
      <c r="R358" s="21"/>
      <c r="S358" s="21"/>
      <c r="T358" s="21"/>
      <c r="U358" s="21"/>
      <c r="V358" s="21"/>
    </row>
    <row r="359" spans="1:22" s="2" customFormat="1" ht="30" customHeight="1" x14ac:dyDescent="0.25">
      <c r="A359" s="599"/>
      <c r="B359" s="285" t="s">
        <v>251</v>
      </c>
      <c r="C359" s="286" t="s">
        <v>1357</v>
      </c>
      <c r="D359" s="100">
        <f t="shared" si="52"/>
        <v>292</v>
      </c>
      <c r="E359" s="427" t="s">
        <v>63</v>
      </c>
      <c r="F359" s="716">
        <v>0</v>
      </c>
      <c r="G359" s="924"/>
      <c r="H359" s="922" t="s">
        <v>147</v>
      </c>
      <c r="I359" s="923"/>
      <c r="J359" s="198" t="str">
        <f>IF(F359="","Belum Terisi",IF(AND($F$357="ada",SUM($F$358:$F$362)=0),"CEK",IF(AND($F$357="Tidak ada",SUM($F$358:$F$362&lt;&gt;0)),"CEK","")))</f>
        <v/>
      </c>
      <c r="K359" s="31" t="str">
        <f>IF(J359="cek",$F$357&amp;" Konflik Lahan","")</f>
        <v/>
      </c>
      <c r="L359" s="31"/>
      <c r="M359" s="21" t="s">
        <v>667</v>
      </c>
      <c r="N359" s="21" t="s">
        <v>668</v>
      </c>
      <c r="O359" s="21"/>
      <c r="P359" s="21"/>
      <c r="Q359" s="21"/>
      <c r="R359" s="21"/>
      <c r="S359" s="21"/>
      <c r="T359" s="21"/>
      <c r="U359" s="21"/>
      <c r="V359" s="21"/>
    </row>
    <row r="360" spans="1:22" s="2" customFormat="1" ht="40.15" customHeight="1" x14ac:dyDescent="0.25">
      <c r="A360" s="599"/>
      <c r="B360" s="285" t="s">
        <v>255</v>
      </c>
      <c r="C360" s="289" t="s">
        <v>1358</v>
      </c>
      <c r="D360" s="100">
        <f t="shared" si="52"/>
        <v>293</v>
      </c>
      <c r="E360" s="427" t="s">
        <v>63</v>
      </c>
      <c r="F360" s="716">
        <v>0</v>
      </c>
      <c r="G360" s="924"/>
      <c r="H360" s="922" t="s">
        <v>147</v>
      </c>
      <c r="I360" s="923"/>
      <c r="J360" s="198" t="str">
        <f>IF(F360="","Belum Terisi",IF(AND($F$357="ada",SUM($F$358:$F$362)=0),"CEK",IF(AND($F$357="Tidak ada",SUM($F$358:$F$362&lt;&gt;0)),"CEK","")))</f>
        <v/>
      </c>
      <c r="K360" s="31" t="str">
        <f>IF(J360="cek",$F$357&amp;" Konflik Lahan","")</f>
        <v/>
      </c>
      <c r="L360" s="31"/>
      <c r="M360" s="21" t="s">
        <v>667</v>
      </c>
      <c r="N360" s="21" t="s">
        <v>668</v>
      </c>
      <c r="O360" s="21"/>
      <c r="P360" s="21"/>
      <c r="Q360" s="21"/>
      <c r="R360" s="21"/>
      <c r="S360" s="21"/>
      <c r="T360" s="21"/>
      <c r="U360" s="21"/>
      <c r="V360" s="21"/>
    </row>
    <row r="361" spans="1:22" s="2" customFormat="1" ht="40.15" customHeight="1" x14ac:dyDescent="0.25">
      <c r="A361" s="599"/>
      <c r="B361" s="285" t="s">
        <v>252</v>
      </c>
      <c r="C361" s="289" t="s">
        <v>1359</v>
      </c>
      <c r="D361" s="100">
        <f t="shared" si="52"/>
        <v>294</v>
      </c>
      <c r="E361" s="427" t="s">
        <v>63</v>
      </c>
      <c r="F361" s="716">
        <v>0</v>
      </c>
      <c r="G361" s="924"/>
      <c r="H361" s="922" t="s">
        <v>147</v>
      </c>
      <c r="I361" s="923"/>
      <c r="J361" s="198" t="str">
        <f>IF(F361="","Belum Terisi",IF(AND($F$357="ada",SUM($F$358:$F$362)=0),"CEK",IF(AND($F$357="Tidak ada",SUM($F$358:$F$362&lt;&gt;0)),"CEK","")))</f>
        <v/>
      </c>
      <c r="K361" s="31" t="str">
        <f>IF(J361="cek",$F$357&amp;" Konflik Lahan","")</f>
        <v/>
      </c>
      <c r="L361" s="31"/>
      <c r="M361" s="21" t="s">
        <v>667</v>
      </c>
      <c r="N361" s="21" t="s">
        <v>668</v>
      </c>
      <c r="O361" s="21"/>
      <c r="P361" s="21"/>
      <c r="Q361" s="21"/>
      <c r="R361" s="21"/>
      <c r="S361" s="21"/>
      <c r="T361" s="21"/>
      <c r="U361" s="21"/>
      <c r="V361" s="21"/>
    </row>
    <row r="362" spans="1:22" s="2" customFormat="1" ht="40.15" customHeight="1" x14ac:dyDescent="0.25">
      <c r="A362" s="599"/>
      <c r="B362" s="285" t="s">
        <v>253</v>
      </c>
      <c r="C362" s="289" t="s">
        <v>1360</v>
      </c>
      <c r="D362" s="100">
        <f t="shared" si="52"/>
        <v>295</v>
      </c>
      <c r="E362" s="427" t="s">
        <v>63</v>
      </c>
      <c r="F362" s="716">
        <v>0</v>
      </c>
      <c r="G362" s="924"/>
      <c r="H362" s="922" t="s">
        <v>147</v>
      </c>
      <c r="I362" s="923"/>
      <c r="J362" s="198" t="str">
        <f>IF(F362="","Belum Terisi",IF(AND($F$357="ada",SUM($F$358:$F$362)=0),"CEK",IF(AND($F$357="Tidak ada",SUM($F$358:$F$362&lt;&gt;0)),"CEK","")))</f>
        <v/>
      </c>
      <c r="K362" s="31" t="str">
        <f>IF(J362="cek",$F$357&amp;" Konflik Lahan","")</f>
        <v/>
      </c>
      <c r="L362" s="31"/>
      <c r="M362" s="21" t="s">
        <v>667</v>
      </c>
      <c r="N362" s="21" t="s">
        <v>668</v>
      </c>
      <c r="O362" s="21"/>
      <c r="P362" s="21"/>
      <c r="Q362" s="21"/>
      <c r="R362" s="21"/>
      <c r="S362" s="21"/>
      <c r="T362" s="21"/>
      <c r="U362" s="21"/>
      <c r="V362" s="21"/>
    </row>
    <row r="363" spans="1:22" s="2" customFormat="1" ht="30" customHeight="1" x14ac:dyDescent="0.25">
      <c r="A363" s="599"/>
      <c r="B363" s="285" t="s">
        <v>254</v>
      </c>
      <c r="C363" s="286" t="s">
        <v>1361</v>
      </c>
      <c r="D363" s="100">
        <f t="shared" si="52"/>
        <v>296</v>
      </c>
      <c r="E363" s="52" t="s">
        <v>261</v>
      </c>
      <c r="F363" s="810">
        <f>SUM(F358:F362)</f>
        <v>0</v>
      </c>
      <c r="G363" s="928"/>
      <c r="H363" s="942"/>
      <c r="I363" s="923"/>
      <c r="J363" s="198" t="str">
        <f>IF(LEN(F363)&gt;0,"","Belum Terisi")</f>
        <v/>
      </c>
      <c r="K363" s="31"/>
      <c r="L363" s="43"/>
      <c r="M363" s="21" t="s">
        <v>667</v>
      </c>
      <c r="N363" s="21"/>
      <c r="O363" s="21"/>
      <c r="P363" s="21"/>
      <c r="Q363" s="21"/>
      <c r="R363" s="21"/>
      <c r="S363" s="21"/>
      <c r="T363" s="21"/>
      <c r="U363" s="21"/>
      <c r="V363" s="21"/>
    </row>
    <row r="364" spans="1:22" s="2" customFormat="1" ht="30" customHeight="1" x14ac:dyDescent="0.25">
      <c r="A364" s="602" t="str">
        <f>"C "&amp;(RIGHT(A357,3)+1)</f>
        <v>C 109</v>
      </c>
      <c r="B364" s="290"/>
      <c r="C364" s="291" t="s">
        <v>339</v>
      </c>
      <c r="D364" s="430"/>
      <c r="E364" s="436"/>
      <c r="F364" s="708"/>
      <c r="G364" s="943"/>
      <c r="H364" s="928">
        <v>3</v>
      </c>
      <c r="I364" s="923"/>
      <c r="J364" s="98"/>
      <c r="K364" s="31"/>
      <c r="L364" s="43"/>
      <c r="M364" s="21" t="s">
        <v>667</v>
      </c>
      <c r="N364" s="21"/>
      <c r="O364" s="21"/>
      <c r="P364" s="21"/>
      <c r="Q364" s="21"/>
      <c r="R364" s="21"/>
      <c r="S364" s="21"/>
      <c r="T364" s="21"/>
      <c r="U364" s="21"/>
      <c r="V364" s="21"/>
    </row>
    <row r="365" spans="1:22" s="2" customFormat="1" ht="30" customHeight="1" x14ac:dyDescent="0.25">
      <c r="A365" s="599"/>
      <c r="B365" s="285" t="s">
        <v>41</v>
      </c>
      <c r="C365" s="286" t="s">
        <v>1362</v>
      </c>
      <c r="D365" s="100">
        <f>D363+1</f>
        <v>297</v>
      </c>
      <c r="E365" s="427" t="s">
        <v>171</v>
      </c>
      <c r="F365" s="705">
        <v>1</v>
      </c>
      <c r="G365" s="927" t="s">
        <v>605</v>
      </c>
      <c r="H365" s="922"/>
      <c r="I365" s="923"/>
      <c r="J365" s="198" t="str">
        <f>IF(F365="","Belum Terisi",IF(OR(F365=1,F365=3,F365=5),"","CEK"))</f>
        <v/>
      </c>
      <c r="K365" s="31" t="str">
        <f t="shared" ref="K365:K371" si="55">IF(J365="CEK","Inputan Tidak Sesuai","")</f>
        <v/>
      </c>
      <c r="L365" s="43"/>
      <c r="M365" s="21" t="s">
        <v>667</v>
      </c>
      <c r="N365" s="21" t="s">
        <v>668</v>
      </c>
      <c r="O365" s="21"/>
      <c r="P365" s="21"/>
      <c r="Q365" s="21"/>
      <c r="R365" s="21"/>
      <c r="S365" s="21"/>
      <c r="T365" s="21"/>
      <c r="U365" s="21"/>
      <c r="V365" s="21"/>
    </row>
    <row r="366" spans="1:22" s="2" customFormat="1" ht="30" customHeight="1" x14ac:dyDescent="0.25">
      <c r="A366" s="599"/>
      <c r="B366" s="285" t="s">
        <v>139</v>
      </c>
      <c r="C366" s="286" t="s">
        <v>1363</v>
      </c>
      <c r="D366" s="100">
        <f>D365+1</f>
        <v>298</v>
      </c>
      <c r="E366" s="427" t="s">
        <v>171</v>
      </c>
      <c r="F366" s="706">
        <v>1</v>
      </c>
      <c r="G366" s="927" t="s">
        <v>605</v>
      </c>
      <c r="H366" s="922"/>
      <c r="I366" s="923"/>
      <c r="J366" s="198" t="str">
        <f t="shared" ref="J366:J369" si="56">IF(F366="","Belum Terisi",IF(OR(F366=1,F366=5),"","CEK"))</f>
        <v/>
      </c>
      <c r="K366" s="31" t="str">
        <f t="shared" si="55"/>
        <v/>
      </c>
      <c r="L366" s="31"/>
      <c r="M366" s="21" t="s">
        <v>667</v>
      </c>
      <c r="N366" s="21" t="s">
        <v>668</v>
      </c>
      <c r="O366" s="21"/>
      <c r="P366" s="21"/>
      <c r="Q366" s="21"/>
      <c r="R366" s="21"/>
      <c r="S366" s="21"/>
      <c r="T366" s="21"/>
      <c r="U366" s="21"/>
      <c r="V366" s="21"/>
    </row>
    <row r="367" spans="1:22" s="2" customFormat="1" ht="30" customHeight="1" x14ac:dyDescent="0.25">
      <c r="A367" s="599"/>
      <c r="B367" s="285" t="s">
        <v>251</v>
      </c>
      <c r="C367" s="286" t="s">
        <v>1364</v>
      </c>
      <c r="D367" s="100">
        <f>D366+1</f>
        <v>299</v>
      </c>
      <c r="E367" s="427" t="s">
        <v>171</v>
      </c>
      <c r="F367" s="706">
        <v>1</v>
      </c>
      <c r="G367" s="927" t="s">
        <v>605</v>
      </c>
      <c r="H367" s="922"/>
      <c r="I367" s="923"/>
      <c r="J367" s="198" t="str">
        <f t="shared" si="56"/>
        <v/>
      </c>
      <c r="K367" s="31" t="str">
        <f t="shared" si="55"/>
        <v/>
      </c>
      <c r="L367" s="43"/>
      <c r="M367" s="21" t="s">
        <v>667</v>
      </c>
      <c r="N367" s="21" t="s">
        <v>668</v>
      </c>
      <c r="O367" s="21"/>
      <c r="P367" s="21"/>
      <c r="Q367" s="21"/>
      <c r="R367" s="21"/>
      <c r="S367" s="21"/>
      <c r="T367" s="21"/>
      <c r="U367" s="21"/>
      <c r="V367" s="21"/>
    </row>
    <row r="368" spans="1:22" s="2" customFormat="1" ht="30" customHeight="1" x14ac:dyDescent="0.25">
      <c r="A368" s="599"/>
      <c r="B368" s="285" t="s">
        <v>255</v>
      </c>
      <c r="C368" s="286" t="s">
        <v>1365</v>
      </c>
      <c r="D368" s="100">
        <f>D367+1</f>
        <v>300</v>
      </c>
      <c r="E368" s="427" t="s">
        <v>171</v>
      </c>
      <c r="F368" s="706">
        <v>1</v>
      </c>
      <c r="G368" s="927" t="s">
        <v>605</v>
      </c>
      <c r="H368" s="922"/>
      <c r="I368" s="923"/>
      <c r="J368" s="198" t="str">
        <f t="shared" si="56"/>
        <v/>
      </c>
      <c r="K368" s="31" t="str">
        <f t="shared" si="55"/>
        <v/>
      </c>
      <c r="L368" s="43"/>
      <c r="M368" s="21" t="s">
        <v>667</v>
      </c>
      <c r="N368" s="21" t="s">
        <v>668</v>
      </c>
      <c r="O368" s="21"/>
      <c r="P368" s="21"/>
      <c r="Q368" s="21"/>
      <c r="R368" s="21"/>
      <c r="S368" s="21"/>
      <c r="T368" s="21"/>
      <c r="U368" s="21"/>
      <c r="V368" s="21"/>
    </row>
    <row r="369" spans="1:22" s="2" customFormat="1" ht="30" customHeight="1" x14ac:dyDescent="0.25">
      <c r="A369" s="600"/>
      <c r="B369" s="285" t="s">
        <v>252</v>
      </c>
      <c r="C369" s="286" t="s">
        <v>1366</v>
      </c>
      <c r="D369" s="100">
        <f>D368+1</f>
        <v>301</v>
      </c>
      <c r="E369" s="427" t="s">
        <v>171</v>
      </c>
      <c r="F369" s="707">
        <v>1</v>
      </c>
      <c r="G369" s="927" t="s">
        <v>605</v>
      </c>
      <c r="H369" s="922"/>
      <c r="I369" s="923"/>
      <c r="J369" s="198" t="str">
        <f t="shared" si="56"/>
        <v/>
      </c>
      <c r="K369" s="31" t="str">
        <f t="shared" si="55"/>
        <v/>
      </c>
      <c r="L369" s="43"/>
      <c r="M369" s="21" t="s">
        <v>667</v>
      </c>
      <c r="N369" s="21" t="s">
        <v>668</v>
      </c>
      <c r="O369" s="21"/>
      <c r="P369" s="21"/>
      <c r="Q369" s="21"/>
      <c r="R369" s="21"/>
      <c r="S369" s="21"/>
      <c r="T369" s="21"/>
      <c r="U369" s="21"/>
      <c r="V369" s="21"/>
    </row>
    <row r="370" spans="1:22" s="2" customFormat="1" ht="30" customHeight="1" x14ac:dyDescent="0.25">
      <c r="A370" s="597" t="s">
        <v>340</v>
      </c>
      <c r="B370" s="290"/>
      <c r="C370" s="275"/>
      <c r="D370" s="430"/>
      <c r="E370" s="436"/>
      <c r="F370" s="704"/>
      <c r="G370" s="943"/>
      <c r="H370" s="928"/>
      <c r="I370" s="923"/>
      <c r="J370" s="98"/>
      <c r="K370" s="31"/>
      <c r="L370" s="43"/>
      <c r="M370" s="21" t="s">
        <v>667</v>
      </c>
      <c r="N370" s="21"/>
      <c r="O370" s="21"/>
      <c r="P370" s="21"/>
      <c r="Q370" s="21"/>
      <c r="R370" s="21"/>
      <c r="S370" s="21"/>
      <c r="T370" s="21"/>
      <c r="U370" s="21"/>
      <c r="V370" s="21"/>
    </row>
    <row r="371" spans="1:22" s="2" customFormat="1" ht="30" customHeight="1" x14ac:dyDescent="0.25">
      <c r="A371" s="598" t="str">
        <f>"C "&amp;(RIGHT(A364,3)+1)</f>
        <v>C 110</v>
      </c>
      <c r="B371" s="284" t="s">
        <v>41</v>
      </c>
      <c r="C371" s="279" t="s">
        <v>341</v>
      </c>
      <c r="D371" s="100">
        <f>D369+1</f>
        <v>302</v>
      </c>
      <c r="E371" s="435" t="s">
        <v>171</v>
      </c>
      <c r="F371" s="705">
        <v>5</v>
      </c>
      <c r="G371" s="927" t="s">
        <v>606</v>
      </c>
      <c r="H371" s="934"/>
      <c r="I371" s="923"/>
      <c r="J371" s="198" t="str">
        <f t="shared" ref="J371" si="57">IF(F371="","Belum Terisi",IF(OR(F371=1,F371=5),"","CEK"))</f>
        <v/>
      </c>
      <c r="K371" s="31" t="str">
        <f t="shared" si="55"/>
        <v/>
      </c>
      <c r="L371" s="43"/>
      <c r="M371" s="21" t="s">
        <v>667</v>
      </c>
      <c r="N371" s="847" t="s">
        <v>668</v>
      </c>
      <c r="O371" s="21"/>
      <c r="P371" s="21"/>
      <c r="Q371" s="21"/>
      <c r="R371" s="21"/>
      <c r="S371" s="21"/>
      <c r="T371" s="21"/>
      <c r="U371" s="21"/>
      <c r="V371" s="21"/>
    </row>
    <row r="372" spans="1:22" s="2" customFormat="1" ht="30" customHeight="1" x14ac:dyDescent="0.25">
      <c r="A372" s="600"/>
      <c r="B372" s="284" t="s">
        <v>139</v>
      </c>
      <c r="C372" s="279" t="s">
        <v>342</v>
      </c>
      <c r="D372" s="100">
        <f>D371+1</f>
        <v>303</v>
      </c>
      <c r="E372" s="435" t="s">
        <v>171</v>
      </c>
      <c r="F372" s="707">
        <v>2</v>
      </c>
      <c r="G372" s="927" t="s">
        <v>606</v>
      </c>
      <c r="H372" s="942"/>
      <c r="I372" s="923"/>
      <c r="J372" s="198" t="str">
        <f>IF(F372="","Belum Terisi",IF(AND(F371=1,F372&lt;&gt;1),"CEK",IF(AND(F372&gt;=1,F372&lt;=5),"","CEK")))</f>
        <v/>
      </c>
      <c r="K372" s="31" t="str">
        <f>IF(J372="CEK","Tidak Terdapat Satkamling di Desa","")</f>
        <v/>
      </c>
      <c r="L372" s="31"/>
      <c r="M372" s="21" t="s">
        <v>667</v>
      </c>
      <c r="N372" s="847" t="s">
        <v>668</v>
      </c>
      <c r="O372" s="21"/>
      <c r="P372" s="21"/>
      <c r="Q372" s="21"/>
      <c r="R372" s="21"/>
      <c r="S372" s="21"/>
      <c r="T372" s="21"/>
      <c r="U372" s="21"/>
      <c r="V372" s="21"/>
    </row>
    <row r="373" spans="1:22" s="2" customFormat="1" ht="30" customHeight="1" x14ac:dyDescent="0.25">
      <c r="A373" s="596" t="s">
        <v>1367</v>
      </c>
      <c r="B373" s="274" t="s">
        <v>344</v>
      </c>
      <c r="C373" s="275"/>
      <c r="D373" s="430"/>
      <c r="E373" s="431"/>
      <c r="F373" s="701"/>
      <c r="G373" s="924"/>
      <c r="H373" s="928"/>
      <c r="I373" s="923"/>
      <c r="J373" s="98"/>
      <c r="K373" s="31"/>
      <c r="L373" s="43"/>
      <c r="M373" s="21" t="s">
        <v>667</v>
      </c>
      <c r="N373" s="21"/>
      <c r="O373" s="21"/>
      <c r="P373" s="21"/>
      <c r="Q373" s="21"/>
      <c r="R373" s="21"/>
      <c r="S373" s="21"/>
      <c r="T373" s="21"/>
      <c r="U373" s="21"/>
      <c r="V373" s="21"/>
    </row>
    <row r="374" spans="1:22" s="2" customFormat="1" ht="30" customHeight="1" x14ac:dyDescent="0.25">
      <c r="A374" s="597" t="s">
        <v>345</v>
      </c>
      <c r="B374" s="290"/>
      <c r="C374" s="275"/>
      <c r="D374" s="430"/>
      <c r="E374" s="482"/>
      <c r="F374" s="740"/>
      <c r="G374" s="924"/>
      <c r="H374" s="928"/>
      <c r="I374" s="923"/>
      <c r="J374" s="98"/>
      <c r="K374" s="31"/>
      <c r="L374" s="31"/>
      <c r="M374" s="21" t="s">
        <v>667</v>
      </c>
      <c r="N374" s="21"/>
      <c r="O374" s="21"/>
      <c r="P374" s="21"/>
      <c r="Q374" s="21"/>
      <c r="R374" s="21"/>
      <c r="S374" s="21"/>
      <c r="T374" s="21"/>
      <c r="U374" s="21"/>
      <c r="V374" s="21"/>
    </row>
    <row r="375" spans="1:22" s="2" customFormat="1" ht="30" customHeight="1" x14ac:dyDescent="0.25">
      <c r="A375" s="598" t="s">
        <v>1369</v>
      </c>
      <c r="B375" s="284" t="s">
        <v>41</v>
      </c>
      <c r="C375" s="291" t="s">
        <v>1368</v>
      </c>
      <c r="D375" s="100">
        <f>D372+1</f>
        <v>304</v>
      </c>
      <c r="E375" s="427" t="s">
        <v>171</v>
      </c>
      <c r="F375" s="705">
        <v>5</v>
      </c>
      <c r="G375" s="927" t="s">
        <v>607</v>
      </c>
      <c r="H375" s="923">
        <v>1</v>
      </c>
      <c r="I375" s="923"/>
      <c r="J375" s="198" t="str">
        <f t="shared" ref="J375" si="58">IF(F375="","Belum Terisi",IF(OR(F375=1,F375=5),"","CEK"))</f>
        <v/>
      </c>
      <c r="K375" s="31" t="str">
        <f t="shared" ref="K375" si="59">IF(J375="CEK","Inputan Tidak Sesuai","")</f>
        <v/>
      </c>
      <c r="L375" s="43"/>
      <c r="M375" s="21" t="s">
        <v>667</v>
      </c>
      <c r="N375" s="21"/>
      <c r="O375" s="21"/>
      <c r="P375" s="21"/>
      <c r="Q375" s="21"/>
      <c r="R375" s="21"/>
      <c r="S375" s="21"/>
      <c r="T375" s="21"/>
      <c r="U375" s="21"/>
      <c r="V375" s="21"/>
    </row>
    <row r="376" spans="1:22" s="2" customFormat="1" ht="30" customHeight="1" x14ac:dyDescent="0.25">
      <c r="A376" s="608"/>
      <c r="B376" s="284" t="s">
        <v>139</v>
      </c>
      <c r="C376" s="291" t="s">
        <v>346</v>
      </c>
      <c r="D376" s="100">
        <f>D375+1</f>
        <v>305</v>
      </c>
      <c r="E376" s="435" t="s">
        <v>171</v>
      </c>
      <c r="F376" s="707">
        <v>3</v>
      </c>
      <c r="G376" s="927" t="s">
        <v>607</v>
      </c>
      <c r="H376" s="928">
        <v>1</v>
      </c>
      <c r="I376" s="923"/>
      <c r="J376" s="198" t="str">
        <f>IF(F376="","Belum Terisi",IF(AND(F375=1,F376&lt;&gt;1),"CEK",IF(AND(F375=5,F376=1),"CEK",IF(AND(F376&gt;=1,F376&lt;=5),"","CEK"))))</f>
        <v/>
      </c>
      <c r="K376" s="31" t="str">
        <f>IF(AND(J376="CEK",F375=5),"Terdapat Fasilitas Perpustakaan/ Taman Bacaan Masyarakat di Desa",IF(AND(J376="CEK",F375=1),"Tidak Terdapat Fasilitas Perpustakaan/ Taman Bacaan Masyarakat di Desa",""))</f>
        <v/>
      </c>
      <c r="L376" s="43"/>
      <c r="M376" s="21" t="s">
        <v>667</v>
      </c>
      <c r="N376" s="21"/>
      <c r="O376" s="21"/>
      <c r="P376" s="21"/>
      <c r="Q376" s="21"/>
      <c r="R376" s="21"/>
      <c r="S376" s="21"/>
      <c r="T376" s="21"/>
      <c r="U376" s="21"/>
      <c r="V376" s="21"/>
    </row>
    <row r="377" spans="1:22" s="2" customFormat="1" ht="30" customHeight="1" x14ac:dyDescent="0.25">
      <c r="A377" s="609" t="s">
        <v>347</v>
      </c>
      <c r="B377" s="292"/>
      <c r="C377" s="293"/>
      <c r="D377" s="479"/>
      <c r="E377" s="482"/>
      <c r="F377" s="741"/>
      <c r="G377" s="924"/>
      <c r="H377" s="928"/>
      <c r="I377" s="923"/>
      <c r="J377" s="98"/>
      <c r="K377" s="31"/>
      <c r="L377" s="43"/>
      <c r="M377" s="21" t="s">
        <v>667</v>
      </c>
      <c r="N377" s="21"/>
      <c r="O377" s="21"/>
      <c r="P377" s="21"/>
      <c r="Q377" s="21"/>
      <c r="R377" s="21"/>
      <c r="S377" s="21"/>
      <c r="T377" s="21"/>
      <c r="U377" s="21"/>
      <c r="V377" s="21"/>
    </row>
    <row r="378" spans="1:22" s="2" customFormat="1" ht="30" customHeight="1" x14ac:dyDescent="0.25">
      <c r="A378" s="602" t="str">
        <f>"C "&amp;(RIGHT(A375,3)+1)</f>
        <v>C 202</v>
      </c>
      <c r="B378" s="294"/>
      <c r="C378" s="295" t="s">
        <v>348</v>
      </c>
      <c r="D378" s="483">
        <f>D376+1</f>
        <v>306</v>
      </c>
      <c r="E378" s="51">
        <f>(F379+F380+F381+F382+F383+F384+F385+F386+F387)/9</f>
        <v>1.2222222222222223</v>
      </c>
      <c r="F378" s="739">
        <f>IF(E378&lt;1.5,1,
IF(AND(E378&gt;=1.5,E378&lt;2.5),2,
IF(AND(E378&gt;=2.5,E378&lt;3.5),3,
IF(AND(E378&gt;=3.5,E378&lt;4.5),4,
IF(AND(E378&gt;=4.5,E378&lt;=5),5,"Tidak Teridentifikasi")))))</f>
        <v>1</v>
      </c>
      <c r="G378" s="927" t="s">
        <v>608</v>
      </c>
      <c r="H378" s="928"/>
      <c r="I378" s="923"/>
      <c r="J378" s="198" t="str">
        <f t="shared" ref="J378" si="60">IF(LEN(F378)&gt;0,"","Belum Terisi")</f>
        <v/>
      </c>
      <c r="K378" s="31"/>
      <c r="L378" s="43"/>
      <c r="M378" s="21" t="s">
        <v>667</v>
      </c>
      <c r="N378" s="21"/>
      <c r="O378" s="21"/>
      <c r="P378" s="21"/>
      <c r="Q378" s="21"/>
      <c r="R378" s="21"/>
      <c r="S378" s="21"/>
      <c r="T378" s="21"/>
      <c r="U378" s="21"/>
      <c r="V378" s="21"/>
    </row>
    <row r="379" spans="1:22" s="2" customFormat="1" ht="30" customHeight="1" x14ac:dyDescent="0.25">
      <c r="A379" s="610"/>
      <c r="B379" s="285" t="s">
        <v>41</v>
      </c>
      <c r="C379" s="296" t="s">
        <v>1370</v>
      </c>
      <c r="D379" s="100">
        <f t="shared" ref="D379:D387" si="61">D378+1</f>
        <v>307</v>
      </c>
      <c r="E379" s="484" t="s">
        <v>171</v>
      </c>
      <c r="F379" s="742">
        <v>2</v>
      </c>
      <c r="G379" s="927" t="s">
        <v>608</v>
      </c>
      <c r="H379" s="928"/>
      <c r="I379" s="940"/>
      <c r="J379" s="198" t="str">
        <f t="shared" ref="J379:J387" si="62">IF(F379="","Belum Terisi",IF(AND(F379&gt;=1,F379&lt;=5),"","CEK"))</f>
        <v/>
      </c>
      <c r="K379" s="31" t="str">
        <f t="shared" ref="K379:K387" si="63">IF(J379="CEK","Inputan Tidak Sesuai","")</f>
        <v/>
      </c>
      <c r="L379" s="43"/>
      <c r="M379" s="21" t="s">
        <v>667</v>
      </c>
      <c r="N379" s="21"/>
      <c r="O379" s="21"/>
      <c r="P379" s="21"/>
      <c r="Q379" s="21"/>
      <c r="R379" s="21"/>
      <c r="S379" s="21"/>
      <c r="T379" s="21"/>
      <c r="U379" s="21"/>
      <c r="V379" s="21"/>
    </row>
    <row r="380" spans="1:22" s="2" customFormat="1" ht="30" customHeight="1" x14ac:dyDescent="0.25">
      <c r="A380" s="610"/>
      <c r="B380" s="285" t="s">
        <v>139</v>
      </c>
      <c r="C380" s="296" t="s">
        <v>1371</v>
      </c>
      <c r="D380" s="100">
        <f t="shared" si="61"/>
        <v>308</v>
      </c>
      <c r="E380" s="484" t="s">
        <v>171</v>
      </c>
      <c r="F380" s="742">
        <v>2</v>
      </c>
      <c r="G380" s="927" t="s">
        <v>608</v>
      </c>
      <c r="H380" s="928"/>
      <c r="I380" s="940"/>
      <c r="J380" s="198" t="str">
        <f t="shared" si="62"/>
        <v/>
      </c>
      <c r="K380" s="31" t="str">
        <f t="shared" si="63"/>
        <v/>
      </c>
      <c r="L380" s="31"/>
      <c r="M380" s="21" t="s">
        <v>667</v>
      </c>
      <c r="N380" s="21"/>
      <c r="O380" s="21"/>
      <c r="P380" s="21"/>
      <c r="Q380" s="21"/>
      <c r="R380" s="21"/>
      <c r="S380" s="21"/>
      <c r="T380" s="21"/>
      <c r="U380" s="21"/>
      <c r="V380" s="21"/>
    </row>
    <row r="381" spans="1:22" s="2" customFormat="1" ht="30" customHeight="1" x14ac:dyDescent="0.25">
      <c r="A381" s="610"/>
      <c r="B381" s="285" t="s">
        <v>251</v>
      </c>
      <c r="C381" s="296" t="s">
        <v>1372</v>
      </c>
      <c r="D381" s="100">
        <f t="shared" si="61"/>
        <v>309</v>
      </c>
      <c r="E381" s="484" t="s">
        <v>171</v>
      </c>
      <c r="F381" s="742">
        <v>1</v>
      </c>
      <c r="G381" s="927" t="s">
        <v>608</v>
      </c>
      <c r="H381" s="944"/>
      <c r="I381" s="923"/>
      <c r="J381" s="198" t="str">
        <f t="shared" si="62"/>
        <v/>
      </c>
      <c r="K381" s="31" t="str">
        <f t="shared" si="63"/>
        <v/>
      </c>
      <c r="L381" s="43"/>
      <c r="M381" s="21" t="s">
        <v>667</v>
      </c>
      <c r="N381" s="21"/>
      <c r="O381" s="21"/>
      <c r="P381" s="21"/>
      <c r="Q381" s="21"/>
      <c r="R381" s="21"/>
      <c r="S381" s="21"/>
      <c r="T381" s="21"/>
      <c r="U381" s="21"/>
      <c r="V381" s="21"/>
    </row>
    <row r="382" spans="1:22" s="2" customFormat="1" ht="30" customHeight="1" x14ac:dyDescent="0.25">
      <c r="A382" s="610"/>
      <c r="B382" s="285" t="s">
        <v>255</v>
      </c>
      <c r="C382" s="296" t="s">
        <v>1373</v>
      </c>
      <c r="D382" s="100">
        <f t="shared" si="61"/>
        <v>310</v>
      </c>
      <c r="E382" s="484" t="s">
        <v>171</v>
      </c>
      <c r="F382" s="742">
        <v>1</v>
      </c>
      <c r="G382" s="927" t="s">
        <v>608</v>
      </c>
      <c r="H382" s="944"/>
      <c r="I382" s="923"/>
      <c r="J382" s="198" t="str">
        <f t="shared" si="62"/>
        <v/>
      </c>
      <c r="K382" s="31" t="str">
        <f t="shared" si="63"/>
        <v/>
      </c>
      <c r="L382" s="43"/>
      <c r="M382" s="21" t="s">
        <v>667</v>
      </c>
      <c r="N382" s="21"/>
      <c r="O382" s="21"/>
      <c r="P382" s="21"/>
      <c r="Q382" s="21"/>
      <c r="R382" s="21"/>
      <c r="S382" s="21"/>
      <c r="T382" s="21"/>
      <c r="U382" s="21"/>
      <c r="V382" s="21"/>
    </row>
    <row r="383" spans="1:22" s="2" customFormat="1" ht="30" customHeight="1" x14ac:dyDescent="0.25">
      <c r="A383" s="610"/>
      <c r="B383" s="285" t="s">
        <v>252</v>
      </c>
      <c r="C383" s="296" t="s">
        <v>1374</v>
      </c>
      <c r="D383" s="100">
        <f t="shared" si="61"/>
        <v>311</v>
      </c>
      <c r="E383" s="484" t="s">
        <v>171</v>
      </c>
      <c r="F383" s="742">
        <v>1</v>
      </c>
      <c r="G383" s="927" t="s">
        <v>608</v>
      </c>
      <c r="H383" s="944"/>
      <c r="I383" s="923"/>
      <c r="J383" s="198" t="str">
        <f t="shared" si="62"/>
        <v/>
      </c>
      <c r="K383" s="31" t="str">
        <f t="shared" si="63"/>
        <v/>
      </c>
      <c r="L383" s="43"/>
      <c r="M383" s="21" t="s">
        <v>667</v>
      </c>
      <c r="N383" s="21"/>
      <c r="O383" s="21"/>
      <c r="P383" s="21"/>
      <c r="Q383" s="21"/>
      <c r="R383" s="21"/>
      <c r="S383" s="21"/>
      <c r="T383" s="21"/>
      <c r="U383" s="21"/>
      <c r="V383" s="21"/>
    </row>
    <row r="384" spans="1:22" s="2" customFormat="1" ht="30" customHeight="1" x14ac:dyDescent="0.25">
      <c r="A384" s="610"/>
      <c r="B384" s="285" t="s">
        <v>253</v>
      </c>
      <c r="C384" s="296" t="s">
        <v>1375</v>
      </c>
      <c r="D384" s="100">
        <f t="shared" si="61"/>
        <v>312</v>
      </c>
      <c r="E384" s="484" t="s">
        <v>171</v>
      </c>
      <c r="F384" s="742">
        <v>1</v>
      </c>
      <c r="G384" s="927" t="s">
        <v>608</v>
      </c>
      <c r="H384" s="944"/>
      <c r="I384" s="923"/>
      <c r="J384" s="198" t="str">
        <f t="shared" si="62"/>
        <v/>
      </c>
      <c r="K384" s="31" t="str">
        <f t="shared" si="63"/>
        <v/>
      </c>
      <c r="L384" s="31"/>
      <c r="M384" s="21" t="s">
        <v>667</v>
      </c>
      <c r="N384" s="21"/>
      <c r="O384" s="21"/>
      <c r="P384" s="21"/>
      <c r="Q384" s="21"/>
      <c r="R384" s="21"/>
      <c r="S384" s="21"/>
      <c r="T384" s="21"/>
      <c r="U384" s="21"/>
      <c r="V384" s="21"/>
    </row>
    <row r="385" spans="1:22" s="2" customFormat="1" ht="30" customHeight="1" x14ac:dyDescent="0.25">
      <c r="A385" s="610"/>
      <c r="B385" s="285" t="s">
        <v>254</v>
      </c>
      <c r="C385" s="296" t="s">
        <v>1376</v>
      </c>
      <c r="D385" s="100">
        <f t="shared" si="61"/>
        <v>313</v>
      </c>
      <c r="E385" s="484" t="s">
        <v>171</v>
      </c>
      <c r="F385" s="742">
        <v>1</v>
      </c>
      <c r="G385" s="927" t="s">
        <v>608</v>
      </c>
      <c r="H385" s="937"/>
      <c r="I385" s="923"/>
      <c r="J385" s="198" t="str">
        <f t="shared" si="62"/>
        <v/>
      </c>
      <c r="K385" s="31" t="str">
        <f t="shared" si="63"/>
        <v/>
      </c>
      <c r="L385" s="43"/>
      <c r="M385" s="21" t="s">
        <v>667</v>
      </c>
      <c r="N385" s="21"/>
      <c r="O385" s="21"/>
      <c r="P385" s="21"/>
      <c r="Q385" s="21"/>
      <c r="R385" s="21"/>
      <c r="S385" s="21"/>
      <c r="T385" s="21"/>
      <c r="U385" s="21"/>
      <c r="V385" s="21"/>
    </row>
    <row r="386" spans="1:22" s="2" customFormat="1" ht="30" customHeight="1" x14ac:dyDescent="0.25">
      <c r="A386" s="610"/>
      <c r="B386" s="297" t="s">
        <v>256</v>
      </c>
      <c r="C386" s="296" t="s">
        <v>1377</v>
      </c>
      <c r="D386" s="100">
        <f t="shared" si="61"/>
        <v>314</v>
      </c>
      <c r="E386" s="484" t="s">
        <v>171</v>
      </c>
      <c r="F386" s="742">
        <v>1</v>
      </c>
      <c r="G386" s="927" t="s">
        <v>608</v>
      </c>
      <c r="H386" s="937"/>
      <c r="I386" s="923"/>
      <c r="J386" s="198" t="str">
        <f t="shared" si="62"/>
        <v/>
      </c>
      <c r="K386" s="31" t="str">
        <f t="shared" si="63"/>
        <v/>
      </c>
      <c r="L386" s="43"/>
      <c r="M386" s="21" t="s">
        <v>667</v>
      </c>
      <c r="N386" s="21"/>
      <c r="O386" s="21"/>
      <c r="P386" s="21"/>
      <c r="Q386" s="21"/>
      <c r="R386" s="21"/>
      <c r="S386" s="21"/>
      <c r="T386" s="21"/>
      <c r="U386" s="21"/>
      <c r="V386" s="21"/>
    </row>
    <row r="387" spans="1:22" s="2" customFormat="1" ht="30" customHeight="1" x14ac:dyDescent="0.25">
      <c r="A387" s="611"/>
      <c r="B387" s="297" t="s">
        <v>257</v>
      </c>
      <c r="C387" s="296" t="s">
        <v>556</v>
      </c>
      <c r="D387" s="100">
        <f t="shared" si="61"/>
        <v>315</v>
      </c>
      <c r="E387" s="485" t="s">
        <v>171</v>
      </c>
      <c r="F387" s="743">
        <v>1</v>
      </c>
      <c r="G387" s="927" t="s">
        <v>608</v>
      </c>
      <c r="H387" s="937"/>
      <c r="I387" s="923"/>
      <c r="J387" s="198" t="str">
        <f t="shared" si="62"/>
        <v/>
      </c>
      <c r="K387" s="31" t="str">
        <f t="shared" si="63"/>
        <v/>
      </c>
      <c r="L387" s="43"/>
      <c r="M387" s="21" t="s">
        <v>667</v>
      </c>
      <c r="N387" s="21"/>
      <c r="O387" s="21"/>
      <c r="P387" s="21"/>
      <c r="Q387" s="21"/>
      <c r="R387" s="21"/>
      <c r="S387" s="21"/>
      <c r="T387" s="21"/>
      <c r="U387" s="21"/>
      <c r="V387" s="21"/>
    </row>
    <row r="388" spans="1:22" s="2" customFormat="1" ht="30" customHeight="1" x14ac:dyDescent="0.25">
      <c r="A388" s="609" t="s">
        <v>349</v>
      </c>
      <c r="B388" s="292"/>
      <c r="C388" s="293"/>
      <c r="D388" s="486"/>
      <c r="E388" s="487"/>
      <c r="F388" s="744"/>
      <c r="G388" s="924"/>
      <c r="H388" s="928"/>
      <c r="I388" s="923"/>
      <c r="J388" s="98"/>
      <c r="K388" s="31"/>
      <c r="L388" s="31"/>
      <c r="M388" s="21" t="s">
        <v>667</v>
      </c>
      <c r="N388" s="21"/>
      <c r="O388" s="21"/>
      <c r="P388" s="21"/>
      <c r="Q388" s="21"/>
      <c r="R388" s="21"/>
      <c r="S388" s="21"/>
      <c r="T388" s="21"/>
      <c r="U388" s="21"/>
      <c r="V388" s="21"/>
    </row>
    <row r="389" spans="1:22" s="2" customFormat="1" ht="30" customHeight="1" x14ac:dyDescent="0.25">
      <c r="A389" s="606" t="str">
        <f>"C "&amp;(RIGHT(A378,3)+1)</f>
        <v>C 203</v>
      </c>
      <c r="B389" s="292"/>
      <c r="C389" s="295" t="s">
        <v>350</v>
      </c>
      <c r="D389" s="100">
        <f>D387+1</f>
        <v>316</v>
      </c>
      <c r="E389" s="51">
        <f>(F391+F392+F393+F395+F396+F397)/6</f>
        <v>1</v>
      </c>
      <c r="F389" s="745">
        <f>IF(E389&lt;1.5,1,
IF(AND(E389&gt;=1.5,E389&lt;2.5),2,
IF(AND(E389&gt;=2.5,E389&lt;3.5),3,
IF(AND(E389&gt;=3.5,E389&lt;4.5),4,
IF(AND(E389&gt;=4.5,E389&lt;=5),5,"Tidak Teridentifikasi")))))</f>
        <v>1</v>
      </c>
      <c r="G389" s="927" t="s">
        <v>609</v>
      </c>
      <c r="H389" s="945"/>
      <c r="I389" s="946"/>
      <c r="J389" s="198" t="str">
        <f>IF(LEN(F389)&gt;0,"","Belum Terisi")</f>
        <v/>
      </c>
      <c r="K389" s="31"/>
      <c r="L389" s="43"/>
      <c r="M389" s="21" t="s">
        <v>667</v>
      </c>
      <c r="N389" s="21"/>
      <c r="O389" s="21"/>
      <c r="P389" s="21"/>
      <c r="Q389" s="21"/>
      <c r="R389" s="21"/>
      <c r="S389" s="21"/>
      <c r="T389" s="21"/>
      <c r="U389" s="21"/>
      <c r="V389" s="21"/>
    </row>
    <row r="390" spans="1:22" s="2" customFormat="1" ht="30" customHeight="1" x14ac:dyDescent="0.25">
      <c r="A390" s="606" t="str">
        <f>"C "&amp;(RIGHT(A389,3)+1)</f>
        <v>C 204</v>
      </c>
      <c r="B390" s="294"/>
      <c r="C390" s="295" t="s">
        <v>351</v>
      </c>
      <c r="D390" s="443"/>
      <c r="E390" s="487"/>
      <c r="F390" s="744"/>
      <c r="G390" s="928"/>
      <c r="H390" s="934"/>
      <c r="I390" s="923"/>
      <c r="J390" s="98"/>
      <c r="K390" s="31"/>
      <c r="L390" s="31"/>
      <c r="M390" s="21" t="s">
        <v>667</v>
      </c>
      <c r="N390" s="21"/>
      <c r="O390" s="21"/>
      <c r="P390" s="21"/>
      <c r="Q390" s="21"/>
      <c r="R390" s="21"/>
      <c r="S390" s="21"/>
      <c r="T390" s="21"/>
      <c r="U390" s="21"/>
      <c r="V390" s="21"/>
    </row>
    <row r="391" spans="1:22" s="2" customFormat="1" ht="30" customHeight="1" x14ac:dyDescent="0.25">
      <c r="A391" s="610"/>
      <c r="B391" s="285" t="s">
        <v>41</v>
      </c>
      <c r="C391" s="296" t="s">
        <v>1378</v>
      </c>
      <c r="D391" s="100">
        <f>D389+1</f>
        <v>317</v>
      </c>
      <c r="E391" s="435" t="s">
        <v>171</v>
      </c>
      <c r="F391" s="705">
        <v>1</v>
      </c>
      <c r="G391" s="927" t="s">
        <v>609</v>
      </c>
      <c r="H391" s="934"/>
      <c r="I391" s="923"/>
      <c r="J391" s="198" t="str">
        <f t="shared" ref="J391:J393" si="64">IF(F391="","Belum Terisi",IF(AND(F391&gt;=1,F391&lt;=5),"","CEK"))</f>
        <v/>
      </c>
      <c r="K391" s="31" t="str">
        <f t="shared" ref="K391:K393" si="65">IF(J391="CEK","Inputan Tidak Sesuai","")</f>
        <v/>
      </c>
      <c r="L391" s="43"/>
      <c r="M391" s="21" t="s">
        <v>667</v>
      </c>
      <c r="N391" s="21"/>
      <c r="O391" s="21"/>
      <c r="P391" s="21"/>
      <c r="Q391" s="21"/>
      <c r="R391" s="21"/>
      <c r="S391" s="21"/>
      <c r="T391" s="21"/>
      <c r="U391" s="21"/>
      <c r="V391" s="21"/>
    </row>
    <row r="392" spans="1:22" s="2" customFormat="1" ht="30" customHeight="1" x14ac:dyDescent="0.25">
      <c r="A392" s="610"/>
      <c r="B392" s="285" t="s">
        <v>139</v>
      </c>
      <c r="C392" s="296" t="s">
        <v>1379</v>
      </c>
      <c r="D392" s="100">
        <f>D391+1</f>
        <v>318</v>
      </c>
      <c r="E392" s="435" t="s">
        <v>171</v>
      </c>
      <c r="F392" s="706">
        <v>1</v>
      </c>
      <c r="G392" s="927" t="s">
        <v>609</v>
      </c>
      <c r="H392" s="934"/>
      <c r="I392" s="923"/>
      <c r="J392" s="198" t="str">
        <f t="shared" si="64"/>
        <v/>
      </c>
      <c r="K392" s="31" t="str">
        <f t="shared" si="65"/>
        <v/>
      </c>
      <c r="L392" s="43"/>
      <c r="M392" s="21" t="s">
        <v>667</v>
      </c>
      <c r="N392" s="21"/>
      <c r="O392" s="21"/>
      <c r="P392" s="21"/>
      <c r="Q392" s="21"/>
      <c r="R392" s="21"/>
      <c r="S392" s="21"/>
      <c r="T392" s="21"/>
      <c r="U392" s="21"/>
      <c r="V392" s="21"/>
    </row>
    <row r="393" spans="1:22" s="2" customFormat="1" ht="30" customHeight="1" x14ac:dyDescent="0.25">
      <c r="A393" s="611"/>
      <c r="B393" s="285" t="s">
        <v>251</v>
      </c>
      <c r="C393" s="296" t="s">
        <v>1380</v>
      </c>
      <c r="D393" s="100">
        <f>D392+1</f>
        <v>319</v>
      </c>
      <c r="E393" s="435" t="s">
        <v>171</v>
      </c>
      <c r="F393" s="707">
        <v>1</v>
      </c>
      <c r="G393" s="927" t="s">
        <v>609</v>
      </c>
      <c r="H393" s="934"/>
      <c r="I393" s="923"/>
      <c r="J393" s="198" t="str">
        <f t="shared" si="64"/>
        <v/>
      </c>
      <c r="K393" s="31" t="str">
        <f t="shared" si="65"/>
        <v/>
      </c>
      <c r="L393" s="43"/>
      <c r="M393" s="21" t="s">
        <v>667</v>
      </c>
      <c r="N393" s="21"/>
      <c r="O393" s="21"/>
      <c r="P393" s="21"/>
      <c r="Q393" s="21"/>
      <c r="R393" s="21"/>
      <c r="S393" s="21"/>
      <c r="T393" s="21"/>
      <c r="U393" s="21"/>
      <c r="V393" s="21"/>
    </row>
    <row r="394" spans="1:22" s="2" customFormat="1" ht="30" customHeight="1" x14ac:dyDescent="0.25">
      <c r="A394" s="606" t="str">
        <f>"C "&amp;(RIGHT(A390,3)+1)</f>
        <v>C 205</v>
      </c>
      <c r="B394" s="294"/>
      <c r="C394" s="295" t="s">
        <v>352</v>
      </c>
      <c r="D394" s="479"/>
      <c r="E394" s="487"/>
      <c r="F394" s="744"/>
      <c r="G394" s="927"/>
      <c r="H394" s="928"/>
      <c r="I394" s="923"/>
      <c r="J394" s="98"/>
      <c r="K394" s="31"/>
      <c r="L394" s="31"/>
      <c r="M394" s="21" t="s">
        <v>667</v>
      </c>
      <c r="N394" s="21"/>
      <c r="O394" s="21"/>
      <c r="P394" s="21"/>
      <c r="Q394" s="21"/>
      <c r="R394" s="21"/>
      <c r="S394" s="21"/>
      <c r="T394" s="21"/>
      <c r="U394" s="21"/>
      <c r="V394" s="21"/>
    </row>
    <row r="395" spans="1:22" s="2" customFormat="1" ht="30" customHeight="1" x14ac:dyDescent="0.25">
      <c r="A395" s="610"/>
      <c r="B395" s="285" t="s">
        <v>41</v>
      </c>
      <c r="C395" s="296" t="s">
        <v>1381</v>
      </c>
      <c r="D395" s="480">
        <f>D393+1</f>
        <v>320</v>
      </c>
      <c r="E395" s="435" t="s">
        <v>171</v>
      </c>
      <c r="F395" s="705">
        <v>1</v>
      </c>
      <c r="G395" s="927" t="s">
        <v>609</v>
      </c>
      <c r="H395" s="928"/>
      <c r="I395" s="923"/>
      <c r="J395" s="198" t="str">
        <f t="shared" ref="J395:J397" si="66">IF(F395="","Belum Terisi",IF(AND(F395&gt;=1,F395&lt;=5),"","CEK"))</f>
        <v/>
      </c>
      <c r="K395" s="31" t="str">
        <f t="shared" ref="K395:K397" si="67">IF(J395="CEK","Inputan Tidak Sesuai","")</f>
        <v/>
      </c>
      <c r="L395" s="43"/>
      <c r="M395" s="21" t="s">
        <v>667</v>
      </c>
      <c r="N395" s="21"/>
      <c r="O395" s="21"/>
      <c r="P395" s="21"/>
      <c r="Q395" s="21"/>
      <c r="R395" s="21"/>
      <c r="S395" s="21"/>
      <c r="T395" s="21"/>
      <c r="U395" s="21"/>
      <c r="V395" s="21"/>
    </row>
    <row r="396" spans="1:22" s="2" customFormat="1" ht="30" customHeight="1" x14ac:dyDescent="0.25">
      <c r="A396" s="610"/>
      <c r="B396" s="285" t="s">
        <v>139</v>
      </c>
      <c r="C396" s="296" t="s">
        <v>1382</v>
      </c>
      <c r="D396" s="480">
        <f>D395+1</f>
        <v>321</v>
      </c>
      <c r="E396" s="435" t="s">
        <v>171</v>
      </c>
      <c r="F396" s="706">
        <v>1</v>
      </c>
      <c r="G396" s="927" t="s">
        <v>609</v>
      </c>
      <c r="H396" s="928"/>
      <c r="I396" s="923"/>
      <c r="J396" s="198" t="str">
        <f t="shared" si="66"/>
        <v/>
      </c>
      <c r="K396" s="31" t="str">
        <f t="shared" si="67"/>
        <v/>
      </c>
      <c r="L396" s="43"/>
      <c r="M396" s="21" t="s">
        <v>667</v>
      </c>
      <c r="N396" s="21"/>
      <c r="O396" s="21"/>
      <c r="P396" s="21"/>
      <c r="Q396" s="21"/>
      <c r="R396" s="21"/>
      <c r="S396" s="21"/>
      <c r="T396" s="21"/>
      <c r="U396" s="21"/>
      <c r="V396" s="21"/>
    </row>
    <row r="397" spans="1:22" s="2" customFormat="1" ht="30" customHeight="1" x14ac:dyDescent="0.25">
      <c r="A397" s="611"/>
      <c r="B397" s="285" t="s">
        <v>251</v>
      </c>
      <c r="C397" s="296" t="s">
        <v>556</v>
      </c>
      <c r="D397" s="480">
        <f>D396+1</f>
        <v>322</v>
      </c>
      <c r="E397" s="435" t="s">
        <v>171</v>
      </c>
      <c r="F397" s="707">
        <v>1</v>
      </c>
      <c r="G397" s="927" t="s">
        <v>609</v>
      </c>
      <c r="H397" s="928"/>
      <c r="I397" s="923"/>
      <c r="J397" s="198" t="str">
        <f t="shared" si="66"/>
        <v/>
      </c>
      <c r="K397" s="31" t="str">
        <f t="shared" si="67"/>
        <v/>
      </c>
      <c r="L397" s="43"/>
      <c r="M397" s="21" t="s">
        <v>667</v>
      </c>
      <c r="N397" s="21"/>
      <c r="O397" s="21"/>
      <c r="P397" s="21"/>
      <c r="Q397" s="21"/>
      <c r="R397" s="21"/>
      <c r="S397" s="21"/>
      <c r="T397" s="21"/>
      <c r="U397" s="21"/>
      <c r="V397" s="21"/>
    </row>
    <row r="398" spans="1:22" s="2" customFormat="1" ht="30" customHeight="1" x14ac:dyDescent="0.25">
      <c r="A398" s="612" t="s">
        <v>1318</v>
      </c>
      <c r="B398" s="298" t="s">
        <v>353</v>
      </c>
      <c r="C398" s="299"/>
      <c r="D398" s="430"/>
      <c r="E398" s="440"/>
      <c r="F398" s="732"/>
      <c r="G398" s="924"/>
      <c r="H398" s="928"/>
      <c r="I398" s="923"/>
      <c r="J398" s="98"/>
      <c r="K398" s="31"/>
      <c r="L398" s="43"/>
      <c r="M398" s="21" t="s">
        <v>667</v>
      </c>
      <c r="N398" s="21"/>
      <c r="O398" s="21"/>
      <c r="P398" s="21"/>
      <c r="Q398" s="21"/>
      <c r="R398" s="21"/>
      <c r="S398" s="21"/>
      <c r="T398" s="21"/>
      <c r="U398" s="21"/>
      <c r="V398" s="21"/>
    </row>
    <row r="399" spans="1:22" s="2" customFormat="1" ht="30" customHeight="1" x14ac:dyDescent="0.25">
      <c r="A399" s="612" t="s">
        <v>1383</v>
      </c>
      <c r="B399" s="298" t="s">
        <v>355</v>
      </c>
      <c r="C399" s="299"/>
      <c r="D399" s="430"/>
      <c r="E399" s="440"/>
      <c r="F399" s="732"/>
      <c r="G399" s="924"/>
      <c r="H399" s="928"/>
      <c r="I399" s="923"/>
      <c r="J399" s="98"/>
      <c r="K399" s="31"/>
      <c r="L399" s="43"/>
      <c r="M399" s="21" t="s">
        <v>667</v>
      </c>
      <c r="N399" s="21"/>
      <c r="O399" s="21"/>
      <c r="P399" s="21"/>
      <c r="Q399" s="21"/>
      <c r="R399" s="21"/>
      <c r="S399" s="21"/>
      <c r="T399" s="21"/>
      <c r="U399" s="21"/>
      <c r="V399" s="21"/>
    </row>
    <row r="400" spans="1:22" s="2" customFormat="1" ht="30" customHeight="1" x14ac:dyDescent="0.25">
      <c r="A400" s="613" t="s">
        <v>356</v>
      </c>
      <c r="B400" s="300"/>
      <c r="C400" s="299"/>
      <c r="D400" s="430"/>
      <c r="E400" s="488"/>
      <c r="F400" s="714"/>
      <c r="G400" s="924"/>
      <c r="H400" s="928"/>
      <c r="I400" s="923"/>
      <c r="J400" s="98"/>
      <c r="K400" s="31"/>
      <c r="L400" s="43"/>
      <c r="M400" s="21" t="s">
        <v>667</v>
      </c>
      <c r="N400" s="21"/>
      <c r="O400" s="21"/>
      <c r="P400" s="21"/>
      <c r="Q400" s="21"/>
      <c r="R400" s="21"/>
      <c r="S400" s="21"/>
      <c r="T400" s="21"/>
      <c r="U400" s="21"/>
      <c r="V400" s="21"/>
    </row>
    <row r="401" spans="1:22" s="2" customFormat="1" ht="30" customHeight="1" x14ac:dyDescent="0.25">
      <c r="A401" s="614" t="s">
        <v>1384</v>
      </c>
      <c r="B401" s="301" t="s">
        <v>41</v>
      </c>
      <c r="C401" s="302" t="s">
        <v>357</v>
      </c>
      <c r="D401" s="434">
        <f>D397+1</f>
        <v>323</v>
      </c>
      <c r="E401" s="435" t="s">
        <v>171</v>
      </c>
      <c r="F401" s="705">
        <v>1</v>
      </c>
      <c r="G401" s="941" t="s">
        <v>610</v>
      </c>
      <c r="H401" s="928"/>
      <c r="I401" s="923"/>
      <c r="J401" s="198" t="str">
        <f>IF(F401="","Belum Terisi",IF(OR(F401=1,F401=3,F401=5),"","CEK"))</f>
        <v/>
      </c>
      <c r="K401" s="31" t="str">
        <f t="shared" ref="K401:K404" si="68">IF(J401="CEK","Inputan Tidak Sesuai","")</f>
        <v/>
      </c>
      <c r="L401" s="43"/>
      <c r="M401" s="21" t="s">
        <v>667</v>
      </c>
      <c r="N401" s="21"/>
      <c r="O401" s="21"/>
      <c r="P401" s="21"/>
      <c r="Q401" s="21"/>
      <c r="R401" s="21"/>
      <c r="S401" s="21"/>
      <c r="T401" s="21"/>
      <c r="U401" s="21"/>
      <c r="V401" s="21"/>
    </row>
    <row r="402" spans="1:22" s="2" customFormat="1" ht="30" customHeight="1" x14ac:dyDescent="0.25">
      <c r="A402" s="615"/>
      <c r="B402" s="301" t="s">
        <v>139</v>
      </c>
      <c r="C402" s="303" t="s">
        <v>537</v>
      </c>
      <c r="D402" s="434">
        <f>D401+1</f>
        <v>324</v>
      </c>
      <c r="E402" s="435" t="s">
        <v>171</v>
      </c>
      <c r="F402" s="707">
        <v>5</v>
      </c>
      <c r="G402" s="941" t="s">
        <v>610</v>
      </c>
      <c r="H402" s="928"/>
      <c r="I402" s="923"/>
      <c r="J402" s="198" t="str">
        <f>IF(F402="","Belum Terisi",IF(OR(F402=1,F402=5),"","CEK"))</f>
        <v/>
      </c>
      <c r="K402" s="31" t="str">
        <f t="shared" si="68"/>
        <v/>
      </c>
      <c r="L402" s="31"/>
      <c r="M402" s="21" t="s">
        <v>667</v>
      </c>
      <c r="N402" s="21"/>
      <c r="O402" s="21"/>
      <c r="P402" s="21"/>
      <c r="Q402" s="21"/>
      <c r="R402" s="21"/>
      <c r="S402" s="21"/>
      <c r="T402" s="21"/>
      <c r="U402" s="21"/>
      <c r="V402" s="21"/>
    </row>
    <row r="403" spans="1:22" s="2" customFormat="1" ht="30" customHeight="1" x14ac:dyDescent="0.25">
      <c r="A403" s="613" t="s">
        <v>358</v>
      </c>
      <c r="B403" s="300"/>
      <c r="C403" s="299"/>
      <c r="D403" s="430"/>
      <c r="E403" s="488"/>
      <c r="F403" s="714"/>
      <c r="G403" s="924"/>
      <c r="H403" s="928"/>
      <c r="I403" s="923"/>
      <c r="J403" s="98"/>
      <c r="K403" s="31"/>
      <c r="L403" s="43"/>
      <c r="M403" s="21" t="s">
        <v>667</v>
      </c>
      <c r="N403" s="21"/>
      <c r="O403" s="21"/>
      <c r="P403" s="21"/>
      <c r="Q403" s="21"/>
      <c r="R403" s="21"/>
      <c r="S403" s="21"/>
      <c r="T403" s="21"/>
      <c r="U403" s="21"/>
      <c r="V403" s="21"/>
    </row>
    <row r="404" spans="1:22" s="2" customFormat="1" ht="30" customHeight="1" x14ac:dyDescent="0.25">
      <c r="A404" s="614" t="str">
        <f>"D "&amp;(RIGHT(A401,3)+1)</f>
        <v>D 102</v>
      </c>
      <c r="B404" s="301" t="s">
        <v>41</v>
      </c>
      <c r="C404" s="303" t="s">
        <v>359</v>
      </c>
      <c r="D404" s="434">
        <f>D402+1</f>
        <v>325</v>
      </c>
      <c r="E404" s="435" t="s">
        <v>171</v>
      </c>
      <c r="F404" s="705">
        <v>5</v>
      </c>
      <c r="G404" s="927" t="s">
        <v>611</v>
      </c>
      <c r="H404" s="928"/>
      <c r="I404" s="923"/>
      <c r="J404" s="198" t="str">
        <f>IF(F404="","Belum Terisi",IF(OR(F404=1,F404=5),"","CEK"))</f>
        <v/>
      </c>
      <c r="K404" s="31" t="str">
        <f t="shared" si="68"/>
        <v/>
      </c>
      <c r="L404" s="43"/>
      <c r="M404" s="21" t="s">
        <v>667</v>
      </c>
      <c r="N404" s="21"/>
      <c r="O404" s="21"/>
      <c r="P404" s="21"/>
      <c r="Q404" s="21"/>
      <c r="R404" s="21"/>
      <c r="S404" s="21"/>
      <c r="T404" s="21"/>
      <c r="U404" s="21"/>
      <c r="V404" s="21"/>
    </row>
    <row r="405" spans="1:22" s="2" customFormat="1" ht="30" customHeight="1" x14ac:dyDescent="0.25">
      <c r="A405" s="616"/>
      <c r="B405" s="301" t="s">
        <v>139</v>
      </c>
      <c r="C405" s="302" t="s">
        <v>360</v>
      </c>
      <c r="D405" s="434">
        <f>D404+1</f>
        <v>326</v>
      </c>
      <c r="E405" s="435" t="s">
        <v>171</v>
      </c>
      <c r="F405" s="706">
        <v>5</v>
      </c>
      <c r="G405" s="927" t="s">
        <v>611</v>
      </c>
      <c r="H405" s="928"/>
      <c r="I405" s="923"/>
      <c r="J405" s="198" t="str">
        <f>IF(F405="","Belum Terisi",IF(AND($F$404=1,F405=5),"CEK",IF(OR(F405=1,F405=5),"","CEK")))</f>
        <v/>
      </c>
      <c r="K405" s="31" t="str">
        <f>IF(J405="CEK","Tidak Terdapat Produk Unggulan Desa","")</f>
        <v/>
      </c>
      <c r="L405" s="43"/>
      <c r="M405" s="21" t="s">
        <v>667</v>
      </c>
      <c r="N405" s="21"/>
      <c r="O405" s="21"/>
      <c r="P405" s="21"/>
      <c r="Q405" s="21"/>
      <c r="R405" s="21"/>
      <c r="S405" s="21"/>
      <c r="T405" s="21"/>
      <c r="U405" s="21"/>
      <c r="V405" s="21"/>
    </row>
    <row r="406" spans="1:22" s="2" customFormat="1" ht="30" customHeight="1" x14ac:dyDescent="0.25">
      <c r="A406" s="615"/>
      <c r="B406" s="301" t="s">
        <v>251</v>
      </c>
      <c r="C406" s="302" t="s">
        <v>361</v>
      </c>
      <c r="D406" s="434">
        <f>D405+1</f>
        <v>327</v>
      </c>
      <c r="E406" s="435" t="s">
        <v>171</v>
      </c>
      <c r="F406" s="707">
        <v>1</v>
      </c>
      <c r="G406" s="927" t="s">
        <v>611</v>
      </c>
      <c r="H406" s="928"/>
      <c r="I406" s="923"/>
      <c r="J406" s="198" t="str">
        <f>IF(F406="","Belum Terisi",IF(AND($F$404=1,F406=5),"CEK",IF(OR(F406=1,F406=5),"","CEK")))</f>
        <v/>
      </c>
      <c r="K406" s="31" t="str">
        <f>IF(J406="CEK","Tidak Tersedia Produk Unggulan Desa","")</f>
        <v/>
      </c>
      <c r="L406" s="31"/>
      <c r="M406" s="21" t="s">
        <v>667</v>
      </c>
      <c r="N406" s="21"/>
      <c r="O406" s="21"/>
      <c r="P406" s="21"/>
      <c r="Q406" s="21"/>
      <c r="R406" s="21"/>
      <c r="S406" s="21"/>
      <c r="T406" s="21"/>
      <c r="U406" s="21"/>
      <c r="V406" s="21"/>
    </row>
    <row r="407" spans="1:22" s="2" customFormat="1" ht="30" customHeight="1" x14ac:dyDescent="0.25">
      <c r="A407" s="613" t="s">
        <v>362</v>
      </c>
      <c r="B407" s="300"/>
      <c r="C407" s="299"/>
      <c r="D407" s="430"/>
      <c r="E407" s="436"/>
      <c r="F407" s="704"/>
      <c r="G407" s="924"/>
      <c r="H407" s="928"/>
      <c r="I407" s="923"/>
      <c r="J407" s="98"/>
      <c r="K407" s="31"/>
      <c r="L407" s="31"/>
      <c r="M407" s="21" t="s">
        <v>667</v>
      </c>
      <c r="N407" s="21"/>
      <c r="O407" s="21"/>
      <c r="P407" s="21"/>
      <c r="Q407" s="21"/>
      <c r="R407" s="21"/>
      <c r="S407" s="21"/>
      <c r="T407" s="21"/>
      <c r="U407" s="21"/>
      <c r="V407" s="21"/>
    </row>
    <row r="408" spans="1:22" s="2" customFormat="1" ht="40.15" customHeight="1" x14ac:dyDescent="0.25">
      <c r="A408" s="614" t="str">
        <f>"D "&amp;(RIGHT(A404,3)+1)</f>
        <v>D 103</v>
      </c>
      <c r="B408" s="301" t="s">
        <v>41</v>
      </c>
      <c r="C408" s="302" t="s">
        <v>363</v>
      </c>
      <c r="D408" s="434">
        <f>D406+1</f>
        <v>328</v>
      </c>
      <c r="E408" s="435" t="s">
        <v>171</v>
      </c>
      <c r="F408" s="705">
        <v>5</v>
      </c>
      <c r="G408" s="927" t="s">
        <v>612</v>
      </c>
      <c r="H408" s="928"/>
      <c r="I408" s="923"/>
      <c r="J408" s="198" t="str">
        <f>IF(F408="","Belum Terisi",IF(OR(F408=1,F408=5),"","CEK"))</f>
        <v/>
      </c>
      <c r="K408" s="31" t="str">
        <f t="shared" ref="K408" si="69">IF(J408="CEK","Inputan Tidak Sesuai","")</f>
        <v/>
      </c>
      <c r="L408" s="43"/>
      <c r="M408" s="21" t="s">
        <v>667</v>
      </c>
      <c r="N408" s="21"/>
      <c r="O408" s="21"/>
      <c r="P408" s="21"/>
      <c r="Q408" s="21"/>
      <c r="R408" s="21"/>
      <c r="S408" s="21"/>
      <c r="T408" s="21"/>
      <c r="U408" s="21"/>
      <c r="V408" s="21"/>
    </row>
    <row r="409" spans="1:22" s="2" customFormat="1" ht="49.9" customHeight="1" x14ac:dyDescent="0.25">
      <c r="A409" s="615"/>
      <c r="B409" s="301" t="s">
        <v>139</v>
      </c>
      <c r="C409" s="302" t="s">
        <v>2476</v>
      </c>
      <c r="D409" s="434">
        <f>D408+1</f>
        <v>329</v>
      </c>
      <c r="E409" s="435" t="s">
        <v>174</v>
      </c>
      <c r="F409" s="707" t="s">
        <v>2815</v>
      </c>
      <c r="G409" s="924"/>
      <c r="H409" s="928"/>
      <c r="I409" s="923"/>
      <c r="J409" s="198" t="str">
        <f>IF(F409="","Belum Terisi",IF(AND(OR(F409="-",F409="Tidak Ada",F409="Tidak Teridentifikasi"),F408=5),"CEK",""))</f>
        <v/>
      </c>
      <c r="K409" s="31" t="str">
        <f>IF(J409="CEK","Terdapat Kearifan Lokal/ Kebudayaan Lokal yg dijadikan Kegiatan Ekonomi di Desa","")</f>
        <v/>
      </c>
      <c r="L409" s="43"/>
      <c r="M409" s="21" t="s">
        <v>667</v>
      </c>
      <c r="N409" s="21"/>
      <c r="O409" s="21"/>
      <c r="P409" s="21"/>
      <c r="Q409" s="21"/>
      <c r="R409" s="21"/>
      <c r="S409" s="21"/>
      <c r="T409" s="21"/>
      <c r="U409" s="21"/>
      <c r="V409" s="21"/>
    </row>
    <row r="410" spans="1:22" s="2" customFormat="1" ht="30" customHeight="1" x14ac:dyDescent="0.25">
      <c r="A410" s="613" t="s">
        <v>119</v>
      </c>
      <c r="B410" s="300"/>
      <c r="C410" s="299"/>
      <c r="D410" s="430"/>
      <c r="E410" s="433"/>
      <c r="F410" s="704"/>
      <c r="G410" s="927"/>
      <c r="H410" s="928"/>
      <c r="I410" s="923"/>
      <c r="J410" s="98"/>
      <c r="K410" s="31"/>
      <c r="L410" s="43"/>
      <c r="M410" s="21" t="s">
        <v>667</v>
      </c>
      <c r="N410" s="21"/>
      <c r="O410" s="21"/>
      <c r="P410" s="21"/>
      <c r="Q410" s="21"/>
      <c r="R410" s="21"/>
      <c r="S410" s="21"/>
      <c r="T410" s="21"/>
      <c r="U410" s="21"/>
      <c r="V410" s="21"/>
    </row>
    <row r="411" spans="1:22" s="2" customFormat="1" ht="30" customHeight="1" x14ac:dyDescent="0.25">
      <c r="A411" s="614" t="str">
        <f>"D "&amp;(RIGHT(A408,3)+1)</f>
        <v>D 104</v>
      </c>
      <c r="B411" s="301" t="s">
        <v>41</v>
      </c>
      <c r="C411" s="302" t="s">
        <v>364</v>
      </c>
      <c r="D411" s="434">
        <f>D409+1</f>
        <v>330</v>
      </c>
      <c r="E411" s="435" t="s">
        <v>171</v>
      </c>
      <c r="F411" s="705">
        <v>1</v>
      </c>
      <c r="G411" s="927" t="s">
        <v>613</v>
      </c>
      <c r="H411" s="928"/>
      <c r="I411" s="923"/>
      <c r="J411" s="198" t="str">
        <f t="shared" ref="J411:J412" si="70">IF(F411="","Belum Terisi",IF(OR(F411=1,F411=5),"","CEK"))</f>
        <v/>
      </c>
      <c r="K411" s="31" t="str">
        <f t="shared" ref="K411:K414" si="71">IF(J411="CEK","Inputan Tidak Sesuai","")</f>
        <v/>
      </c>
      <c r="L411" s="31"/>
      <c r="M411" s="21" t="s">
        <v>667</v>
      </c>
      <c r="N411" s="847" t="s">
        <v>668</v>
      </c>
      <c r="O411" s="21"/>
      <c r="P411" s="21"/>
      <c r="Q411" s="21"/>
      <c r="R411" s="21"/>
      <c r="S411" s="21"/>
      <c r="T411" s="21"/>
      <c r="U411" s="21"/>
      <c r="V411" s="21"/>
    </row>
    <row r="412" spans="1:22" s="2" customFormat="1" ht="30" customHeight="1" x14ac:dyDescent="0.25">
      <c r="A412" s="615"/>
      <c r="B412" s="301" t="s">
        <v>139</v>
      </c>
      <c r="C412" s="302" t="s">
        <v>365</v>
      </c>
      <c r="D412" s="434">
        <f>D411+1</f>
        <v>331</v>
      </c>
      <c r="E412" s="435" t="s">
        <v>171</v>
      </c>
      <c r="F412" s="707">
        <v>1</v>
      </c>
      <c r="G412" s="927" t="s">
        <v>613</v>
      </c>
      <c r="H412" s="928"/>
      <c r="I412" s="923"/>
      <c r="J412" s="198" t="str">
        <f t="shared" si="70"/>
        <v/>
      </c>
      <c r="K412" s="31" t="str">
        <f t="shared" si="71"/>
        <v/>
      </c>
      <c r="L412" s="43"/>
      <c r="M412" s="21" t="s">
        <v>667</v>
      </c>
      <c r="N412" s="847" t="s">
        <v>668</v>
      </c>
      <c r="O412" s="21"/>
      <c r="P412" s="21"/>
      <c r="Q412" s="21"/>
      <c r="R412" s="21"/>
      <c r="S412" s="21"/>
      <c r="T412" s="21"/>
      <c r="U412" s="21"/>
      <c r="V412" s="21"/>
    </row>
    <row r="413" spans="1:22" s="2" customFormat="1" ht="30" customHeight="1" x14ac:dyDescent="0.25">
      <c r="A413" s="612" t="s">
        <v>1385</v>
      </c>
      <c r="B413" s="298" t="s">
        <v>367</v>
      </c>
      <c r="C413" s="299"/>
      <c r="D413" s="430"/>
      <c r="E413" s="489"/>
      <c r="F413" s="734"/>
      <c r="G413" s="924"/>
      <c r="H413" s="928"/>
      <c r="I413" s="923"/>
      <c r="J413" s="98"/>
      <c r="K413" s="31"/>
      <c r="L413" s="43"/>
      <c r="M413" s="21" t="s">
        <v>667</v>
      </c>
      <c r="N413" s="21"/>
      <c r="O413" s="21"/>
      <c r="P413" s="21"/>
      <c r="Q413" s="21"/>
      <c r="R413" s="21"/>
      <c r="S413" s="21"/>
      <c r="T413" s="21"/>
      <c r="U413" s="21"/>
      <c r="V413" s="21"/>
    </row>
    <row r="414" spans="1:22" s="2" customFormat="1" ht="30" customHeight="1" x14ac:dyDescent="0.25">
      <c r="A414" s="614" t="s">
        <v>1386</v>
      </c>
      <c r="B414" s="301" t="s">
        <v>41</v>
      </c>
      <c r="C414" s="304" t="s">
        <v>369</v>
      </c>
      <c r="D414" s="434">
        <f>D412+1</f>
        <v>332</v>
      </c>
      <c r="E414" s="490" t="s">
        <v>171</v>
      </c>
      <c r="F414" s="811">
        <v>1</v>
      </c>
      <c r="G414" s="927" t="s">
        <v>614</v>
      </c>
      <c r="H414" s="934"/>
      <c r="I414" s="923"/>
      <c r="J414" s="198" t="str">
        <f t="shared" ref="J414" si="72">IF(F414="","Belum Terisi",IF(OR(F414=1,F414=5),"","CEK"))</f>
        <v/>
      </c>
      <c r="K414" s="31" t="str">
        <f t="shared" si="71"/>
        <v/>
      </c>
      <c r="L414" s="43"/>
      <c r="M414" s="21" t="s">
        <v>667</v>
      </c>
      <c r="N414" s="847" t="s">
        <v>668</v>
      </c>
      <c r="O414" s="21"/>
      <c r="P414" s="21"/>
      <c r="Q414" s="21"/>
      <c r="R414" s="21"/>
      <c r="S414" s="21"/>
      <c r="T414" s="21"/>
      <c r="U414" s="21"/>
      <c r="V414" s="21"/>
    </row>
    <row r="415" spans="1:22" s="2" customFormat="1" ht="30" customHeight="1" x14ac:dyDescent="0.25">
      <c r="A415" s="617"/>
      <c r="B415" s="301" t="s">
        <v>139</v>
      </c>
      <c r="C415" s="304" t="s">
        <v>370</v>
      </c>
      <c r="D415" s="100">
        <f>D414+1</f>
        <v>333</v>
      </c>
      <c r="E415" s="435" t="s">
        <v>171</v>
      </c>
      <c r="F415" s="706">
        <v>1</v>
      </c>
      <c r="G415" s="927" t="s">
        <v>614</v>
      </c>
      <c r="H415" s="923" t="s">
        <v>41</v>
      </c>
      <c r="I415" s="923"/>
      <c r="J415" s="198" t="str">
        <f>IF(F415="","Belum Terisi",IF(AND(F414=1,F415&lt;&gt;1),"CEK",IF(OR(F415=1,F415=3,F415=5),"","CEK")))</f>
        <v/>
      </c>
      <c r="K415" s="31" t="str">
        <f>IF(AND(J415="CEK",F414=1,F415&lt;&gt;1),"Tidak Terdapat Pendidikan Non-Formal/ Pusat Keterampilan/ Kursus di Desa","")</f>
        <v/>
      </c>
      <c r="L415" s="43"/>
      <c r="M415" s="21" t="s">
        <v>667</v>
      </c>
      <c r="N415" s="21" t="s">
        <v>668</v>
      </c>
      <c r="O415" s="21"/>
      <c r="P415" s="21"/>
      <c r="Q415" s="21"/>
      <c r="R415" s="21"/>
      <c r="S415" s="21"/>
      <c r="T415" s="21"/>
      <c r="U415" s="21"/>
      <c r="V415" s="21"/>
    </row>
    <row r="416" spans="1:22" s="2" customFormat="1" ht="30" customHeight="1" x14ac:dyDescent="0.25">
      <c r="A416" s="617"/>
      <c r="B416" s="301" t="s">
        <v>251</v>
      </c>
      <c r="C416" s="304" t="s">
        <v>371</v>
      </c>
      <c r="D416" s="100">
        <f>D415+1</f>
        <v>334</v>
      </c>
      <c r="E416" s="435" t="s">
        <v>171</v>
      </c>
      <c r="F416" s="706" t="s">
        <v>263</v>
      </c>
      <c r="G416" s="927"/>
      <c r="H416" s="923" t="s">
        <v>139</v>
      </c>
      <c r="I416" s="923"/>
      <c r="J416" s="198" t="str">
        <f>IF(F416="","Belum Terisi",IF(AND(F414=1,F416&lt;&gt;"Tidak Ada"),"CEK",IF(AND(F414=5,F416="Tidak Ada"),"CEK","")))</f>
        <v/>
      </c>
      <c r="K416" s="31" t="str">
        <f>IF(AND(J416="CEK",F414=1),"Tidak Terdapat Pendidikan Non-Formal/ Pusat Keterampilan/ Kursus di Desa",IF(AND(J416="CEK",F414=5),"Terdapat Pendidikan Non-Formal/ Pusat Keterampilan/ Kursus di Desa",""))</f>
        <v/>
      </c>
      <c r="L416" s="43"/>
      <c r="M416" s="21" t="s">
        <v>667</v>
      </c>
      <c r="N416" s="21" t="s">
        <v>668</v>
      </c>
      <c r="O416" s="21"/>
      <c r="P416" s="21"/>
      <c r="Q416" s="21"/>
      <c r="R416" s="21"/>
      <c r="S416" s="21"/>
      <c r="T416" s="21"/>
      <c r="U416" s="21"/>
      <c r="V416" s="21"/>
    </row>
    <row r="417" spans="1:22" s="2" customFormat="1" ht="49.9" customHeight="1" x14ac:dyDescent="0.25">
      <c r="A417" s="618"/>
      <c r="B417" s="301" t="s">
        <v>255</v>
      </c>
      <c r="C417" s="304" t="s">
        <v>2477</v>
      </c>
      <c r="D417" s="100">
        <f>D416+1</f>
        <v>335</v>
      </c>
      <c r="E417" s="435" t="s">
        <v>174</v>
      </c>
      <c r="F417" s="707" t="s">
        <v>240</v>
      </c>
      <c r="G417" s="924"/>
      <c r="H417" s="923" t="s">
        <v>251</v>
      </c>
      <c r="I417" s="923"/>
      <c r="J417" s="198" t="str">
        <f>IF(LEN(F417)&gt;0,"","Belum Terisi")</f>
        <v/>
      </c>
      <c r="K417" s="31"/>
      <c r="L417" s="43"/>
      <c r="M417" s="21" t="s">
        <v>667</v>
      </c>
      <c r="N417" s="21" t="s">
        <v>668</v>
      </c>
      <c r="O417" s="21"/>
      <c r="P417" s="21"/>
      <c r="Q417" s="21"/>
      <c r="R417" s="21"/>
      <c r="S417" s="21"/>
      <c r="T417" s="21"/>
      <c r="U417" s="21"/>
      <c r="V417" s="21"/>
    </row>
    <row r="418" spans="1:22" s="2" customFormat="1" ht="30" customHeight="1" x14ac:dyDescent="0.25">
      <c r="A418" s="613" t="s">
        <v>372</v>
      </c>
      <c r="B418" s="300"/>
      <c r="C418" s="299"/>
      <c r="D418" s="430"/>
      <c r="E418" s="489"/>
      <c r="F418" s="734"/>
      <c r="G418" s="924"/>
      <c r="H418" s="923" t="s">
        <v>255</v>
      </c>
      <c r="I418" s="923"/>
      <c r="J418" s="98"/>
      <c r="K418" s="31"/>
      <c r="L418" s="31"/>
      <c r="M418" s="21" t="s">
        <v>667</v>
      </c>
      <c r="N418" s="21"/>
      <c r="O418" s="21"/>
      <c r="P418" s="21"/>
      <c r="Q418" s="21"/>
      <c r="R418" s="21"/>
      <c r="S418" s="21"/>
      <c r="T418" s="21"/>
      <c r="U418" s="21"/>
      <c r="V418" s="21"/>
    </row>
    <row r="419" spans="1:22" s="2" customFormat="1" ht="30" customHeight="1" x14ac:dyDescent="0.25">
      <c r="A419" s="614" t="str">
        <f>"D "&amp;(RIGHT(A414,3)+1)</f>
        <v>D 202</v>
      </c>
      <c r="B419" s="301" t="s">
        <v>41</v>
      </c>
      <c r="C419" s="304" t="s">
        <v>373</v>
      </c>
      <c r="D419" s="434">
        <f>D417+1</f>
        <v>336</v>
      </c>
      <c r="E419" s="490" t="s">
        <v>171</v>
      </c>
      <c r="F419" s="812">
        <v>1</v>
      </c>
      <c r="G419" s="927" t="s">
        <v>615</v>
      </c>
      <c r="H419" s="940" t="s">
        <v>252</v>
      </c>
      <c r="I419" s="923"/>
      <c r="J419" s="198" t="str">
        <f t="shared" ref="J419" si="73">IF(F419="","Belum Terisi",IF(OR(F419=1,F419=5),"","CEK"))</f>
        <v/>
      </c>
      <c r="K419" s="31" t="str">
        <f t="shared" ref="K419" si="74">IF(J419="CEK","Inputan Tidak Sesuai","")</f>
        <v/>
      </c>
      <c r="L419" s="43"/>
      <c r="M419" s="21" t="s">
        <v>667</v>
      </c>
      <c r="N419" s="21"/>
      <c r="O419" s="21"/>
      <c r="P419" s="21"/>
      <c r="Q419" s="21"/>
      <c r="R419" s="21"/>
      <c r="S419" s="21"/>
      <c r="T419" s="21"/>
      <c r="U419" s="21"/>
      <c r="V419" s="21"/>
    </row>
    <row r="420" spans="1:22" s="2" customFormat="1" ht="30" customHeight="1" x14ac:dyDescent="0.25">
      <c r="A420" s="616"/>
      <c r="B420" s="301" t="s">
        <v>139</v>
      </c>
      <c r="C420" s="302" t="s">
        <v>374</v>
      </c>
      <c r="D420" s="480">
        <f>D419+1</f>
        <v>337</v>
      </c>
      <c r="E420" s="435" t="s">
        <v>171</v>
      </c>
      <c r="F420" s="706" t="s">
        <v>253</v>
      </c>
      <c r="G420" s="928"/>
      <c r="H420" s="922" t="s">
        <v>253</v>
      </c>
      <c r="I420" s="942"/>
      <c r="J420" s="198" t="str">
        <f>IF(F420="","Belum Terisi",IF(AND(F419=1,F420&lt;&gt;"f"),"CEK",IF(AND(F419=5,F420="f"),"CEK","")))</f>
        <v/>
      </c>
      <c r="K420" s="31" t="str">
        <f>IF(AND(J420="CEK",F419=1,F420&lt;&gt;"f"),"Tidak Terdapat Pasar di Desa",IF(AND(J420="CEK",F419=5,F420="f"),"Terdapat Pasar di Desa",""))</f>
        <v/>
      </c>
      <c r="L420" s="43"/>
      <c r="M420" s="21" t="s">
        <v>667</v>
      </c>
      <c r="N420" s="21"/>
      <c r="O420" s="21"/>
      <c r="P420" s="21"/>
      <c r="Q420" s="21"/>
      <c r="R420" s="21"/>
      <c r="S420" s="21"/>
      <c r="T420" s="21"/>
      <c r="U420" s="21"/>
      <c r="V420" s="21"/>
    </row>
    <row r="421" spans="1:22" s="2" customFormat="1" ht="30" customHeight="1" x14ac:dyDescent="0.25">
      <c r="A421" s="616"/>
      <c r="B421" s="301" t="s">
        <v>251</v>
      </c>
      <c r="C421" s="302" t="s">
        <v>861</v>
      </c>
      <c r="D421" s="480">
        <f>D420+1</f>
        <v>338</v>
      </c>
      <c r="E421" s="435" t="s">
        <v>171</v>
      </c>
      <c r="F421" s="749">
        <v>2</v>
      </c>
      <c r="G421" s="927" t="s">
        <v>615</v>
      </c>
      <c r="H421" s="934" t="s">
        <v>543</v>
      </c>
      <c r="I421" s="923"/>
      <c r="J421" s="198" t="str">
        <f>IF(F421="","Belum Terisi",IF(OR(F421=1,F421=2,F421=3),"","CEK"))</f>
        <v/>
      </c>
      <c r="K421" s="31" t="str">
        <f t="shared" ref="K421:K423" si="75">IF(J421="CEK","Inputan Tidak Sesuai","")</f>
        <v/>
      </c>
      <c r="L421" s="31"/>
      <c r="M421" s="21" t="s">
        <v>667</v>
      </c>
      <c r="N421" s="21"/>
      <c r="O421" s="21"/>
      <c r="P421" s="21"/>
      <c r="Q421" s="21"/>
      <c r="R421" s="21"/>
      <c r="S421" s="21"/>
      <c r="T421" s="21"/>
      <c r="U421" s="21"/>
      <c r="V421" s="21"/>
    </row>
    <row r="422" spans="1:22" s="2" customFormat="1" ht="30" customHeight="1" x14ac:dyDescent="0.25">
      <c r="A422" s="616"/>
      <c r="B422" s="301" t="s">
        <v>255</v>
      </c>
      <c r="C422" s="302" t="s">
        <v>859</v>
      </c>
      <c r="D422" s="480">
        <f>D421+1</f>
        <v>339</v>
      </c>
      <c r="E422" s="435" t="s">
        <v>171</v>
      </c>
      <c r="F422" s="749">
        <v>3</v>
      </c>
      <c r="G422" s="927" t="s">
        <v>615</v>
      </c>
      <c r="H422" s="934" t="s">
        <v>375</v>
      </c>
      <c r="I422" s="923"/>
      <c r="J422" s="198" t="str">
        <f>IF(F422="","Belum Terisi",IF(OR(F422=1,F422=2,F422=3),"","CEK"))</f>
        <v/>
      </c>
      <c r="K422" s="31" t="str">
        <f t="shared" si="75"/>
        <v/>
      </c>
      <c r="L422" s="43"/>
      <c r="M422" s="21" t="s">
        <v>667</v>
      </c>
      <c r="N422" s="21"/>
      <c r="O422" s="21"/>
      <c r="P422" s="21"/>
      <c r="Q422" s="21"/>
      <c r="R422" s="21"/>
      <c r="S422" s="21"/>
      <c r="T422" s="21"/>
      <c r="U422" s="21"/>
      <c r="V422" s="21"/>
    </row>
    <row r="423" spans="1:22" s="2" customFormat="1" ht="30" customHeight="1" x14ac:dyDescent="0.25">
      <c r="A423" s="616"/>
      <c r="B423" s="301" t="s">
        <v>252</v>
      </c>
      <c r="C423" s="302" t="s">
        <v>860</v>
      </c>
      <c r="D423" s="480">
        <f>D422+1</f>
        <v>340</v>
      </c>
      <c r="E423" s="435" t="s">
        <v>171</v>
      </c>
      <c r="F423" s="706">
        <v>2</v>
      </c>
      <c r="G423" s="927" t="s">
        <v>615</v>
      </c>
      <c r="H423" s="928"/>
      <c r="I423" s="923"/>
      <c r="J423" s="198" t="str">
        <f>IF(F423="","Belum Terisi",IF(OR(F423=1,F423=2),"","CEK"))</f>
        <v/>
      </c>
      <c r="K423" s="31" t="str">
        <f t="shared" si="75"/>
        <v/>
      </c>
      <c r="L423" s="43"/>
      <c r="M423" s="21" t="s">
        <v>667</v>
      </c>
      <c r="N423" s="21"/>
      <c r="O423" s="21"/>
      <c r="P423" s="21"/>
      <c r="Q423" s="21"/>
      <c r="R423" s="21"/>
      <c r="S423" s="21"/>
      <c r="T423" s="21"/>
      <c r="U423" s="21"/>
      <c r="V423" s="21"/>
    </row>
    <row r="424" spans="1:22" s="2" customFormat="1" ht="30" customHeight="1" x14ac:dyDescent="0.25">
      <c r="A424" s="618"/>
      <c r="B424" s="301" t="s">
        <v>253</v>
      </c>
      <c r="C424" s="304" t="s">
        <v>862</v>
      </c>
      <c r="D424" s="480">
        <f>D423+1</f>
        <v>341</v>
      </c>
      <c r="E424" s="491" t="s">
        <v>250</v>
      </c>
      <c r="F424" s="806">
        <f>IF(AND(F421=1,F422=1,F423=1),5,
IF(AND(F421=1,F422=1,F423=2),5,
IF(AND(F421=1,F422=2,F423=1),5,
IF(AND(F421=1,F422=2,F423=2),4,
IF(AND(F421=1,F422=3,F423=1),5,
IF(AND(F421=1,F422=3,F423=2),3,
IF(AND(F421=2,F422=1,F423=1),4,
IF(AND(F421=2,F422=1,F423=2),4,
IF(AND(F421=2,F422=2,F423=1),3,
IF(AND(F421=2,F422=2,F423=2),2,
IF(AND(F421=2,F422=3,F423=1),3,
IF(AND(F421=2,F422=3,F423=2),2,
IF(AND(F421=3,F422=1,F423=1),4,
IF(AND(F421=3,F422=1,F423=2),2,
IF(AND(F421=3,F422=2,F423=1),2,
IF(AND(F421=3,F422=2,F423=2),1,
IF(AND(F421=3,F422=3,F423=1),1,
IF(AND(F421=3,F422=3,F423=2),1,"Tidak Teridentifikasi"))))))))))))))))))</f>
        <v>2</v>
      </c>
      <c r="G424" s="927" t="s">
        <v>615</v>
      </c>
      <c r="H424" s="942"/>
      <c r="I424" s="923"/>
      <c r="J424" s="198" t="str">
        <f>IF(F424="tidak teridentifikasi","CEK","")</f>
        <v/>
      </c>
      <c r="K424" s="31"/>
      <c r="L424" s="43"/>
      <c r="M424" s="21" t="s">
        <v>667</v>
      </c>
      <c r="N424" s="21"/>
      <c r="O424" s="21"/>
      <c r="P424" s="21"/>
      <c r="Q424" s="21"/>
      <c r="R424" s="21"/>
      <c r="S424" s="21"/>
      <c r="T424" s="21"/>
      <c r="U424" s="21"/>
      <c r="V424" s="21"/>
    </row>
    <row r="425" spans="1:22" s="2" customFormat="1" ht="30" customHeight="1" x14ac:dyDescent="0.25">
      <c r="A425" s="613" t="s">
        <v>376</v>
      </c>
      <c r="B425" s="300"/>
      <c r="C425" s="299"/>
      <c r="D425" s="430"/>
      <c r="E425" s="429"/>
      <c r="F425" s="732"/>
      <c r="G425" s="927"/>
      <c r="H425" s="937"/>
      <c r="I425" s="923"/>
      <c r="J425" s="98"/>
      <c r="K425" s="31"/>
      <c r="L425" s="43"/>
      <c r="M425" s="21" t="s">
        <v>667</v>
      </c>
      <c r="N425" s="21"/>
      <c r="O425" s="21"/>
      <c r="P425" s="21"/>
      <c r="Q425" s="21"/>
      <c r="R425" s="21"/>
      <c r="S425" s="21"/>
      <c r="T425" s="21"/>
      <c r="U425" s="21"/>
      <c r="V425" s="21"/>
    </row>
    <row r="426" spans="1:22" s="2" customFormat="1" ht="30" customHeight="1" x14ac:dyDescent="0.25">
      <c r="A426" s="614" t="str">
        <f>"D "&amp;(RIGHT(A419,3)+1)</f>
        <v>D 203</v>
      </c>
      <c r="B426" s="301" t="s">
        <v>41</v>
      </c>
      <c r="C426" s="304" t="s">
        <v>1387</v>
      </c>
      <c r="D426" s="100">
        <f>D424+1</f>
        <v>342</v>
      </c>
      <c r="E426" s="427" t="s">
        <v>171</v>
      </c>
      <c r="F426" s="705">
        <v>1</v>
      </c>
      <c r="G426" s="927" t="s">
        <v>143</v>
      </c>
      <c r="H426" s="922"/>
      <c r="I426" s="923"/>
      <c r="J426" s="198" t="str">
        <f t="shared" ref="J426" si="76">IF(F426="","Belum Terisi",IF(OR(F426=1,F426=5),"","CEK"))</f>
        <v/>
      </c>
      <c r="K426" s="31" t="str">
        <f t="shared" ref="K426:K429" si="77">IF(J426="CEK","Inputan Tidak Sesuai","")</f>
        <v/>
      </c>
      <c r="L426" s="43"/>
      <c r="M426" s="21" t="s">
        <v>667</v>
      </c>
      <c r="N426" s="21"/>
      <c r="O426" s="21"/>
      <c r="P426" s="21"/>
      <c r="Q426" s="21"/>
      <c r="R426" s="21"/>
      <c r="S426" s="21"/>
      <c r="T426" s="21"/>
      <c r="U426" s="21"/>
      <c r="V426" s="21"/>
    </row>
    <row r="427" spans="1:22" s="2" customFormat="1" ht="30" customHeight="1" x14ac:dyDescent="0.25">
      <c r="A427" s="617"/>
      <c r="B427" s="301" t="s">
        <v>139</v>
      </c>
      <c r="C427" s="305" t="s">
        <v>1872</v>
      </c>
      <c r="D427" s="480">
        <f>D426+1</f>
        <v>343</v>
      </c>
      <c r="E427" s="427" t="s">
        <v>171</v>
      </c>
      <c r="F427" s="716">
        <v>1</v>
      </c>
      <c r="G427" s="927" t="s">
        <v>143</v>
      </c>
      <c r="H427" s="922" t="s">
        <v>215</v>
      </c>
      <c r="I427" s="923"/>
      <c r="J427" s="198" t="str">
        <f>IF(F427="","Belum Terisi",IF(OR(F427=1,F427=2,F427=3),"","CEK"))</f>
        <v/>
      </c>
      <c r="K427" s="31" t="str">
        <f t="shared" si="77"/>
        <v/>
      </c>
      <c r="L427" s="43"/>
      <c r="M427" s="847" t="s">
        <v>667</v>
      </c>
      <c r="N427" s="21"/>
      <c r="O427" s="21"/>
      <c r="P427" s="21"/>
      <c r="Q427" s="21"/>
      <c r="R427" s="21"/>
      <c r="S427" s="21"/>
      <c r="T427" s="21"/>
      <c r="U427" s="21"/>
      <c r="V427" s="21"/>
    </row>
    <row r="428" spans="1:22" s="2" customFormat="1" ht="30" customHeight="1" x14ac:dyDescent="0.25">
      <c r="A428" s="617"/>
      <c r="B428" s="301" t="s">
        <v>251</v>
      </c>
      <c r="C428" s="304" t="s">
        <v>377</v>
      </c>
      <c r="D428" s="480">
        <f>D427+1</f>
        <v>344</v>
      </c>
      <c r="E428" s="427" t="s">
        <v>171</v>
      </c>
      <c r="F428" s="749">
        <v>1</v>
      </c>
      <c r="G428" s="927" t="s">
        <v>143</v>
      </c>
      <c r="H428" s="934" t="s">
        <v>375</v>
      </c>
      <c r="I428" s="923"/>
      <c r="J428" s="198" t="str">
        <f>IF(F428="","Belum Terisi",IF(OR(F428=1,F428=2,F428=3),"","CEK"))</f>
        <v/>
      </c>
      <c r="K428" s="31" t="str">
        <f t="shared" si="77"/>
        <v/>
      </c>
      <c r="L428" s="31"/>
      <c r="M428" s="21" t="s">
        <v>667</v>
      </c>
      <c r="N428" s="21"/>
      <c r="O428" s="21"/>
      <c r="P428" s="21"/>
      <c r="Q428" s="21"/>
      <c r="R428" s="21"/>
      <c r="S428" s="21"/>
      <c r="T428" s="21"/>
      <c r="U428" s="21"/>
      <c r="V428" s="21"/>
    </row>
    <row r="429" spans="1:22" s="2" customFormat="1" ht="30" customHeight="1" x14ac:dyDescent="0.25">
      <c r="A429" s="617"/>
      <c r="B429" s="301" t="s">
        <v>255</v>
      </c>
      <c r="C429" s="304" t="s">
        <v>378</v>
      </c>
      <c r="D429" s="480">
        <f>D428+1</f>
        <v>345</v>
      </c>
      <c r="E429" s="435" t="s">
        <v>171</v>
      </c>
      <c r="F429" s="706">
        <v>2</v>
      </c>
      <c r="G429" s="927" t="s">
        <v>143</v>
      </c>
      <c r="H429" s="928"/>
      <c r="I429" s="923"/>
      <c r="J429" s="198" t="str">
        <f>IF(F429="","Belum Terisi",IF(OR(F429=1,F429=2),"","CEK"))</f>
        <v/>
      </c>
      <c r="K429" s="31" t="str">
        <f t="shared" si="77"/>
        <v/>
      </c>
      <c r="L429" s="43"/>
      <c r="M429" s="21" t="s">
        <v>667</v>
      </c>
      <c r="N429" s="21"/>
      <c r="O429" s="21"/>
      <c r="P429" s="21"/>
      <c r="Q429" s="21"/>
      <c r="R429" s="21"/>
      <c r="S429" s="21"/>
      <c r="T429" s="21"/>
      <c r="U429" s="21"/>
      <c r="V429" s="21"/>
    </row>
    <row r="430" spans="1:22" s="2" customFormat="1" ht="30" customHeight="1" x14ac:dyDescent="0.25">
      <c r="A430" s="618"/>
      <c r="B430" s="301" t="s">
        <v>252</v>
      </c>
      <c r="C430" s="304" t="s">
        <v>379</v>
      </c>
      <c r="D430" s="480">
        <f>D429+1</f>
        <v>346</v>
      </c>
      <c r="E430" s="491" t="s">
        <v>250</v>
      </c>
      <c r="F430" s="806">
        <f>IF(AND(F427=1,F428=1,F429=1),5,
IF(AND(F427=1,F428=1,F429=2),5,
IF(AND(F427=1,F428=2,F429=1),5,
IF(AND(F427=1,F428=2,F429=2),4,
IF(AND(F427=1,F428=3,F429=1),5,
IF(AND(F427=1,F428=3,F429=2),3,
IF(AND(F427=2,F428=1,F429=1),4,
IF(AND(F427=2,F428=1,F429=2),4,
IF(AND(F427=2,F428=2,F429=1),3,
IF(AND(F427=2,F428=2,F429=2),2,
IF(AND(F427=2,F428=3,F429=1),3,
IF(AND(F427=2,F428=3,F429=2),2,
IF(AND(F427=3,F428=1,F429=1),4,
IF(AND(F427=3,F428=1,F429=2),2,
IF(AND(F427=3,F428=2,F429=1),2,
IF(AND(F427=3,F428=2,F429=2),1,
IF(AND(F427=3,F428=3,F429=1),1,
IF(AND(F427=3,F428=3,F429=2),1,"Tidak Teridentifikasi"))))))))))))))))))</f>
        <v>5</v>
      </c>
      <c r="G430" s="927" t="s">
        <v>143</v>
      </c>
      <c r="H430" s="928"/>
      <c r="I430" s="923"/>
      <c r="J430" s="198" t="str">
        <f>IF(F430="tidak teridentifikasi","CEK","")</f>
        <v/>
      </c>
      <c r="K430" s="31"/>
      <c r="L430" s="43"/>
      <c r="M430" s="21" t="s">
        <v>667</v>
      </c>
      <c r="N430" s="21"/>
      <c r="O430" s="21"/>
      <c r="P430" s="21"/>
      <c r="Q430" s="21"/>
      <c r="R430" s="21"/>
      <c r="S430" s="21"/>
      <c r="T430" s="21"/>
      <c r="U430" s="21"/>
      <c r="V430" s="21"/>
    </row>
    <row r="431" spans="1:22" s="2" customFormat="1" ht="30" customHeight="1" x14ac:dyDescent="0.25">
      <c r="A431" s="619" t="s">
        <v>380</v>
      </c>
      <c r="B431" s="300"/>
      <c r="C431" s="299"/>
      <c r="D431" s="443"/>
      <c r="E431" s="429"/>
      <c r="F431" s="732"/>
      <c r="G431" s="924"/>
      <c r="H431" s="928"/>
      <c r="I431" s="923"/>
      <c r="J431" s="98"/>
      <c r="K431" s="31"/>
      <c r="L431" s="31"/>
      <c r="M431" s="21" t="s">
        <v>667</v>
      </c>
      <c r="N431" s="21"/>
      <c r="O431" s="21"/>
      <c r="P431" s="21"/>
      <c r="Q431" s="21"/>
      <c r="R431" s="21"/>
      <c r="S431" s="21"/>
      <c r="T431" s="21"/>
      <c r="U431" s="21"/>
      <c r="V431" s="21"/>
    </row>
    <row r="432" spans="1:22" s="2" customFormat="1" ht="30" customHeight="1" x14ac:dyDescent="0.25">
      <c r="A432" s="614" t="str">
        <f>"D "&amp;(RIGHT(A426,3)+1)</f>
        <v>D 204</v>
      </c>
      <c r="B432" s="301" t="s">
        <v>41</v>
      </c>
      <c r="C432" s="304" t="s">
        <v>778</v>
      </c>
      <c r="D432" s="100">
        <f>D430+1</f>
        <v>347</v>
      </c>
      <c r="E432" s="427" t="s">
        <v>171</v>
      </c>
      <c r="F432" s="705">
        <v>1</v>
      </c>
      <c r="G432" s="927" t="s">
        <v>616</v>
      </c>
      <c r="H432" s="922"/>
      <c r="I432" s="923"/>
      <c r="J432" s="198" t="str">
        <f t="shared" ref="J432" si="78">IF(F432="","Belum Terisi",IF(OR(F432=1,F432=5),"","CEK"))</f>
        <v/>
      </c>
      <c r="K432" s="31" t="str">
        <f t="shared" ref="K432:K435" si="79">IF(J432="CEK","Inputan Tidak Sesuai","")</f>
        <v/>
      </c>
      <c r="L432" s="43"/>
      <c r="M432" s="21" t="s">
        <v>667</v>
      </c>
      <c r="N432" s="21"/>
      <c r="O432" s="21"/>
      <c r="P432" s="21"/>
      <c r="Q432" s="21"/>
      <c r="R432" s="21"/>
      <c r="S432" s="21"/>
      <c r="T432" s="21"/>
      <c r="U432" s="21"/>
      <c r="V432" s="21"/>
    </row>
    <row r="433" spans="1:22" s="2" customFormat="1" ht="30" customHeight="1" x14ac:dyDescent="0.25">
      <c r="A433" s="617"/>
      <c r="B433" s="301" t="s">
        <v>139</v>
      </c>
      <c r="C433" s="304" t="s">
        <v>382</v>
      </c>
      <c r="D433" s="100">
        <f>D432+1</f>
        <v>348</v>
      </c>
      <c r="E433" s="435" t="s">
        <v>171</v>
      </c>
      <c r="F433" s="749">
        <v>1</v>
      </c>
      <c r="G433" s="927" t="s">
        <v>616</v>
      </c>
      <c r="H433" s="934" t="s">
        <v>539</v>
      </c>
      <c r="I433" s="923"/>
      <c r="J433" s="198" t="str">
        <f>IF(F433="","Belum Terisi",IF(OR(F433=1,F433=2,F433=3),"","CEK"))</f>
        <v/>
      </c>
      <c r="K433" s="31" t="str">
        <f t="shared" si="79"/>
        <v/>
      </c>
      <c r="L433" s="43"/>
      <c r="M433" s="21" t="s">
        <v>667</v>
      </c>
      <c r="N433" s="21"/>
      <c r="O433" s="21"/>
      <c r="P433" s="21"/>
      <c r="Q433" s="21"/>
      <c r="R433" s="21"/>
      <c r="S433" s="21"/>
      <c r="T433" s="21"/>
      <c r="U433" s="21"/>
      <c r="V433" s="21"/>
    </row>
    <row r="434" spans="1:22" s="2" customFormat="1" ht="30" customHeight="1" x14ac:dyDescent="0.25">
      <c r="A434" s="617"/>
      <c r="B434" s="301" t="s">
        <v>251</v>
      </c>
      <c r="C434" s="304" t="s">
        <v>381</v>
      </c>
      <c r="D434" s="100">
        <f>D433+1</f>
        <v>349</v>
      </c>
      <c r="E434" s="435" t="s">
        <v>171</v>
      </c>
      <c r="F434" s="749">
        <v>2</v>
      </c>
      <c r="G434" s="927" t="s">
        <v>616</v>
      </c>
      <c r="H434" s="934" t="s">
        <v>375</v>
      </c>
      <c r="I434" s="923"/>
      <c r="J434" s="198" t="str">
        <f>IF(F434="","Belum Terisi",IF(OR(F434=1,F434=2,F434=3),"","CEK"))</f>
        <v/>
      </c>
      <c r="K434" s="31" t="str">
        <f t="shared" si="79"/>
        <v/>
      </c>
      <c r="L434" s="43"/>
      <c r="M434" s="21" t="s">
        <v>667</v>
      </c>
      <c r="N434" s="21"/>
      <c r="O434" s="21"/>
      <c r="P434" s="21"/>
      <c r="Q434" s="21"/>
      <c r="R434" s="21"/>
      <c r="S434" s="21"/>
      <c r="T434" s="21"/>
      <c r="U434" s="21"/>
      <c r="V434" s="21"/>
    </row>
    <row r="435" spans="1:22" s="2" customFormat="1" ht="30" customHeight="1" x14ac:dyDescent="0.25">
      <c r="A435" s="617"/>
      <c r="B435" s="301" t="s">
        <v>255</v>
      </c>
      <c r="C435" s="304" t="s">
        <v>383</v>
      </c>
      <c r="D435" s="100">
        <f>D434+1</f>
        <v>350</v>
      </c>
      <c r="E435" s="435" t="s">
        <v>171</v>
      </c>
      <c r="F435" s="706">
        <v>2</v>
      </c>
      <c r="G435" s="927" t="s">
        <v>616</v>
      </c>
      <c r="H435" s="928"/>
      <c r="I435" s="923"/>
      <c r="J435" s="198" t="str">
        <f>IF(F435="","Belum Terisi",IF(OR(F435=1,F435=2),"","CEK"))</f>
        <v/>
      </c>
      <c r="K435" s="31" t="str">
        <f t="shared" si="79"/>
        <v/>
      </c>
      <c r="L435" s="31"/>
      <c r="M435" s="21" t="s">
        <v>667</v>
      </c>
      <c r="N435" s="21"/>
      <c r="O435" s="21"/>
      <c r="P435" s="21"/>
      <c r="Q435" s="21"/>
      <c r="R435" s="21"/>
      <c r="S435" s="21"/>
      <c r="T435" s="21"/>
      <c r="U435" s="21"/>
      <c r="V435" s="21"/>
    </row>
    <row r="436" spans="1:22" s="2" customFormat="1" ht="30" customHeight="1" x14ac:dyDescent="0.25">
      <c r="A436" s="618"/>
      <c r="B436" s="301" t="s">
        <v>252</v>
      </c>
      <c r="C436" s="304" t="s">
        <v>384</v>
      </c>
      <c r="D436" s="100">
        <f>D435+1</f>
        <v>351</v>
      </c>
      <c r="E436" s="491" t="s">
        <v>250</v>
      </c>
      <c r="F436" s="806">
        <f>IF(AND(F433=1,F434=1,F435=1),5,
IF(AND(F433=1,F434=1,F435=2),5,
IF(AND(F433=1,F434=2,F435=1),5,
IF(AND(F433=1,F434=2,F435=2),4,
IF(AND(F433=1,F434=3,F435=1),5,
IF(AND(F433=1,F434=3,F435=2),3,
IF(AND(F433=2,F434=1,F435=1),4,
IF(AND(F433=2,F434=1,F435=2),4,
IF(AND(F433=2,F434=2,F435=1),3,
IF(AND(F433=2,F434=2,F435=2),2,
IF(AND(F433=2,F434=3,F435=1),3,
IF(AND(F433=2,F434=3,F435=2),2,
IF(AND(F433=3,F434=1,F435=1),4,
IF(AND(F433=3,F434=1,F435=2),2,
IF(AND(F433=3,F434=2,F435=1),2,
IF(AND(F433=3,F434=2,F435=2),1,
IF(AND(F433=3,F434=3,F435=1),1,
IF(AND(F433=3,F434=3,F435=2),1,"Tidak Teridentifikasi"))))))))))))))))))</f>
        <v>4</v>
      </c>
      <c r="G436" s="927" t="s">
        <v>616</v>
      </c>
      <c r="H436" s="928"/>
      <c r="I436" s="923"/>
      <c r="J436" s="198" t="str">
        <f>IF(F436="tidak teridentifikasi","CEK","")</f>
        <v/>
      </c>
      <c r="K436" s="31"/>
      <c r="L436" s="43"/>
      <c r="M436" s="21" t="s">
        <v>667</v>
      </c>
      <c r="N436" s="21"/>
      <c r="O436" s="21"/>
      <c r="P436" s="21"/>
      <c r="Q436" s="21"/>
      <c r="R436" s="21"/>
      <c r="S436" s="21"/>
      <c r="T436" s="21"/>
      <c r="U436" s="21"/>
      <c r="V436" s="21"/>
    </row>
    <row r="437" spans="1:22" s="2" customFormat="1" ht="30" customHeight="1" x14ac:dyDescent="0.25">
      <c r="A437" s="613" t="s">
        <v>385</v>
      </c>
      <c r="B437" s="300"/>
      <c r="C437" s="299"/>
      <c r="D437" s="443"/>
      <c r="E437" s="429"/>
      <c r="F437" s="732"/>
      <c r="G437" s="924"/>
      <c r="H437" s="928"/>
      <c r="I437" s="923"/>
      <c r="J437" s="98"/>
      <c r="K437" s="31"/>
      <c r="L437" s="43"/>
      <c r="M437" s="21" t="s">
        <v>667</v>
      </c>
      <c r="N437" s="21"/>
      <c r="O437" s="21"/>
      <c r="P437" s="21"/>
      <c r="Q437" s="21"/>
      <c r="R437" s="21"/>
      <c r="S437" s="21"/>
      <c r="T437" s="21"/>
      <c r="U437" s="21"/>
      <c r="V437" s="21"/>
    </row>
    <row r="438" spans="1:22" s="2" customFormat="1" ht="30" customHeight="1" x14ac:dyDescent="0.25">
      <c r="A438" s="614" t="str">
        <f>"D "&amp;(RIGHT(A432,3)+1)</f>
        <v>D 205</v>
      </c>
      <c r="B438" s="301" t="s">
        <v>41</v>
      </c>
      <c r="C438" s="304" t="s">
        <v>1388</v>
      </c>
      <c r="D438" s="100">
        <f>D436+1</f>
        <v>352</v>
      </c>
      <c r="E438" s="427" t="s">
        <v>171</v>
      </c>
      <c r="F438" s="705">
        <v>1</v>
      </c>
      <c r="G438" s="927" t="s">
        <v>617</v>
      </c>
      <c r="H438" s="922"/>
      <c r="I438" s="923"/>
      <c r="J438" s="198" t="str">
        <f t="shared" ref="J438" si="80">IF(F438="","Belum Terisi",IF(OR(F438=1,F438=5),"","CEK"))</f>
        <v/>
      </c>
      <c r="K438" s="31" t="str">
        <f t="shared" ref="K438:K441" si="81">IF(J438="CEK","Inputan Tidak Sesuai","")</f>
        <v/>
      </c>
      <c r="L438" s="43"/>
      <c r="M438" s="21" t="s">
        <v>667</v>
      </c>
      <c r="N438" s="21"/>
      <c r="O438" s="21"/>
      <c r="P438" s="21"/>
      <c r="Q438" s="21"/>
      <c r="R438" s="21"/>
      <c r="S438" s="21"/>
      <c r="T438" s="21"/>
      <c r="U438" s="21"/>
      <c r="V438" s="21"/>
    </row>
    <row r="439" spans="1:22" s="2" customFormat="1" ht="30" customHeight="1" x14ac:dyDescent="0.25">
      <c r="A439" s="617"/>
      <c r="B439" s="301" t="s">
        <v>139</v>
      </c>
      <c r="C439" s="304" t="s">
        <v>1389</v>
      </c>
      <c r="D439" s="100">
        <f>D438+1</f>
        <v>353</v>
      </c>
      <c r="E439" s="427" t="s">
        <v>171</v>
      </c>
      <c r="F439" s="716">
        <v>2</v>
      </c>
      <c r="G439" s="927" t="s">
        <v>617</v>
      </c>
      <c r="H439" s="922" t="s">
        <v>215</v>
      </c>
      <c r="I439" s="923"/>
      <c r="J439" s="198" t="str">
        <f>IF(F439="","Belum Terisi",IF(OR(F439=1,F439=2,F439=3),"","CEK"))</f>
        <v/>
      </c>
      <c r="K439" s="31" t="str">
        <f t="shared" si="81"/>
        <v/>
      </c>
      <c r="L439" s="43"/>
      <c r="M439" s="21" t="s">
        <v>667</v>
      </c>
      <c r="N439" s="21"/>
      <c r="O439" s="21"/>
      <c r="P439" s="21"/>
      <c r="Q439" s="21"/>
      <c r="R439" s="21"/>
      <c r="S439" s="21"/>
      <c r="T439" s="21"/>
      <c r="U439" s="21"/>
      <c r="V439" s="21"/>
    </row>
    <row r="440" spans="1:22" s="2" customFormat="1" ht="30" customHeight="1" x14ac:dyDescent="0.25">
      <c r="A440" s="617"/>
      <c r="B440" s="301" t="s">
        <v>251</v>
      </c>
      <c r="C440" s="304" t="s">
        <v>1390</v>
      </c>
      <c r="D440" s="100">
        <f>D439+1</f>
        <v>354</v>
      </c>
      <c r="E440" s="427" t="s">
        <v>171</v>
      </c>
      <c r="F440" s="694">
        <v>3</v>
      </c>
      <c r="G440" s="927" t="s">
        <v>617</v>
      </c>
      <c r="H440" s="922" t="s">
        <v>216</v>
      </c>
      <c r="I440" s="923"/>
      <c r="J440" s="198" t="str">
        <f>IF(F440="","Belum Terisi",IF(OR(F440=1,F440=2,F440=3),"","CEK"))</f>
        <v/>
      </c>
      <c r="K440" s="31" t="str">
        <f t="shared" si="81"/>
        <v/>
      </c>
      <c r="L440" s="31"/>
      <c r="M440" s="21" t="s">
        <v>667</v>
      </c>
      <c r="N440" s="21"/>
      <c r="O440" s="21"/>
      <c r="P440" s="21"/>
      <c r="Q440" s="21"/>
      <c r="R440" s="21"/>
      <c r="S440" s="21"/>
      <c r="T440" s="21"/>
      <c r="U440" s="21"/>
      <c r="V440" s="21"/>
    </row>
    <row r="441" spans="1:22" s="2" customFormat="1" ht="30" customHeight="1" x14ac:dyDescent="0.25">
      <c r="A441" s="617"/>
      <c r="B441" s="301" t="s">
        <v>255</v>
      </c>
      <c r="C441" s="304" t="s">
        <v>386</v>
      </c>
      <c r="D441" s="100">
        <f>D440+1</f>
        <v>355</v>
      </c>
      <c r="E441" s="435" t="s">
        <v>171</v>
      </c>
      <c r="F441" s="706">
        <v>1</v>
      </c>
      <c r="G441" s="927" t="s">
        <v>617</v>
      </c>
      <c r="H441" s="928"/>
      <c r="I441" s="923"/>
      <c r="J441" s="198" t="str">
        <f>IF(F441="","Belum Terisi",IF(OR(F441=1,F441=2),"","CEK"))</f>
        <v/>
      </c>
      <c r="K441" s="31" t="str">
        <f t="shared" si="81"/>
        <v/>
      </c>
      <c r="L441" s="43"/>
      <c r="M441" s="21" t="s">
        <v>667</v>
      </c>
      <c r="N441" s="21"/>
      <c r="O441" s="21"/>
      <c r="P441" s="21"/>
      <c r="Q441" s="21"/>
      <c r="R441" s="21"/>
      <c r="S441" s="21"/>
      <c r="T441" s="21"/>
      <c r="U441" s="21"/>
      <c r="V441" s="21"/>
    </row>
    <row r="442" spans="1:22" s="2" customFormat="1" ht="30" customHeight="1" x14ac:dyDescent="0.25">
      <c r="A442" s="618"/>
      <c r="B442" s="301" t="s">
        <v>252</v>
      </c>
      <c r="C442" s="304" t="s">
        <v>387</v>
      </c>
      <c r="D442" s="100">
        <f>D441+1</f>
        <v>356</v>
      </c>
      <c r="E442" s="491" t="s">
        <v>250</v>
      </c>
      <c r="F442" s="806">
        <f>IF(AND(F439=1,F440=1,F441=1),5,
IF(AND(F439=1,F440=1,F441=2),5,
IF(AND(F439=1,F440=2,F441=1),5,
IF(AND(F439=1,F440=2,F441=2),4,
IF(AND(F439=1,F440=3,F441=1),5,
IF(AND(F439=1,F440=3,F441=2),3,
IF(AND(F439=2,F440=1,F441=1),4,
IF(AND(F439=2,F440=1,F441=2),4,
IF(AND(F439=2,F440=2,F441=1),3,
IF(AND(F439=2,F440=2,F441=2),2,
IF(AND(F439=2,F440=3,F441=1),3,
IF(AND(F439=2,F440=3,F441=2),2,
IF(AND(F439=3,F440=1,F441=1),4,
IF(AND(F439=3,F440=1,F441=2),2,
IF(AND(F439=3,F440=2,F441=1),2,
IF(AND(F439=3,F440=2,F441=2),1,
IF(AND(F439=3,F440=3,F441=1),1,
IF(AND(F439=3,F440=3,F441=2),1,"Tidak Teridentifikasi"))))))))))))))))))</f>
        <v>3</v>
      </c>
      <c r="G442" s="927" t="s">
        <v>617</v>
      </c>
      <c r="H442" s="928"/>
      <c r="I442" s="923"/>
      <c r="J442" s="198" t="str">
        <f>IF(F442="tidak teridentifikasi","CEK","")</f>
        <v/>
      </c>
      <c r="K442" s="31"/>
      <c r="L442" s="43"/>
      <c r="M442" s="21" t="s">
        <v>667</v>
      </c>
      <c r="N442" s="21"/>
      <c r="O442" s="21"/>
      <c r="P442" s="21"/>
      <c r="Q442" s="21"/>
      <c r="R442" s="21"/>
      <c r="S442" s="21"/>
      <c r="T442" s="21"/>
      <c r="U442" s="21"/>
      <c r="V442" s="21"/>
    </row>
    <row r="443" spans="1:22" s="2" customFormat="1" ht="30" customHeight="1" x14ac:dyDescent="0.25">
      <c r="A443" s="613" t="s">
        <v>684</v>
      </c>
      <c r="B443" s="306"/>
      <c r="C443" s="299"/>
      <c r="D443" s="443"/>
      <c r="E443" s="429"/>
      <c r="F443" s="732"/>
      <c r="G443" s="924"/>
      <c r="H443" s="928"/>
      <c r="I443" s="923"/>
      <c r="J443" s="98"/>
      <c r="K443" s="31"/>
      <c r="L443" s="31"/>
      <c r="M443" s="21" t="s">
        <v>667</v>
      </c>
      <c r="N443" s="21"/>
      <c r="O443" s="21"/>
      <c r="P443" s="21"/>
      <c r="Q443" s="21"/>
      <c r="R443" s="21"/>
      <c r="S443" s="21"/>
      <c r="T443" s="21"/>
      <c r="U443" s="21"/>
      <c r="V443" s="21"/>
    </row>
    <row r="444" spans="1:22" s="2" customFormat="1" ht="40.15" customHeight="1" x14ac:dyDescent="0.25">
      <c r="A444" s="614" t="str">
        <f>"D "&amp;(RIGHT(A438,3)+1)</f>
        <v>D 206</v>
      </c>
      <c r="B444" s="301" t="s">
        <v>41</v>
      </c>
      <c r="C444" s="303" t="s">
        <v>2731</v>
      </c>
      <c r="D444" s="100">
        <f>D442+1</f>
        <v>357</v>
      </c>
      <c r="E444" s="427" t="s">
        <v>171</v>
      </c>
      <c r="F444" s="693">
        <v>5</v>
      </c>
      <c r="G444" s="927" t="s">
        <v>618</v>
      </c>
      <c r="H444" s="922"/>
      <c r="I444" s="923"/>
      <c r="J444" s="198" t="str">
        <f t="shared" ref="J444" si="82">IF(F444="","Belum Terisi",IF(OR(F444=1,F444=5),"","CEK"))</f>
        <v/>
      </c>
      <c r="K444" s="31" t="str">
        <f t="shared" ref="K444:K447" si="83">IF(J444="CEK","Inputan Tidak Sesuai","")</f>
        <v/>
      </c>
      <c r="L444" s="43"/>
      <c r="M444" s="21" t="s">
        <v>667</v>
      </c>
      <c r="N444" s="21"/>
      <c r="O444" s="21"/>
      <c r="P444" s="21"/>
      <c r="Q444" s="21"/>
      <c r="R444" s="21"/>
      <c r="S444" s="21"/>
      <c r="T444" s="21"/>
      <c r="U444" s="21"/>
      <c r="V444" s="21"/>
    </row>
    <row r="445" spans="1:22" s="2" customFormat="1" ht="40.15" customHeight="1" x14ac:dyDescent="0.25">
      <c r="A445" s="617"/>
      <c r="B445" s="301" t="s">
        <v>139</v>
      </c>
      <c r="C445" s="303" t="s">
        <v>2730</v>
      </c>
      <c r="D445" s="100">
        <f>D444+1</f>
        <v>358</v>
      </c>
      <c r="E445" s="427" t="s">
        <v>171</v>
      </c>
      <c r="F445" s="716">
        <v>2</v>
      </c>
      <c r="G445" s="927" t="s">
        <v>618</v>
      </c>
      <c r="H445" s="922" t="s">
        <v>217</v>
      </c>
      <c r="I445" s="923"/>
      <c r="J445" s="198" t="str">
        <f>IF(F445="","Belum Terisi",IF(OR(F445=1,F445=2,F445=3),"","CEK"))</f>
        <v/>
      </c>
      <c r="K445" s="31" t="str">
        <f t="shared" si="83"/>
        <v/>
      </c>
      <c r="L445" s="43"/>
      <c r="M445" s="21" t="s">
        <v>667</v>
      </c>
      <c r="N445" s="21"/>
      <c r="O445" s="21"/>
      <c r="P445" s="21"/>
      <c r="Q445" s="21"/>
      <c r="R445" s="21"/>
      <c r="S445" s="21"/>
      <c r="T445" s="21"/>
      <c r="U445" s="21"/>
      <c r="V445" s="21"/>
    </row>
    <row r="446" spans="1:22" s="2" customFormat="1" ht="30" customHeight="1" x14ac:dyDescent="0.25">
      <c r="A446" s="617"/>
      <c r="B446" s="301" t="s">
        <v>251</v>
      </c>
      <c r="C446" s="304" t="s">
        <v>685</v>
      </c>
      <c r="D446" s="100">
        <f>D445+1</f>
        <v>359</v>
      </c>
      <c r="E446" s="427" t="s">
        <v>171</v>
      </c>
      <c r="F446" s="749">
        <v>3</v>
      </c>
      <c r="G446" s="927" t="s">
        <v>618</v>
      </c>
      <c r="H446" s="934" t="s">
        <v>375</v>
      </c>
      <c r="I446" s="923"/>
      <c r="J446" s="198" t="str">
        <f>IF(F446="","Belum Terisi",IF(OR(F446=1,F446=2,F446=3),"","CEK"))</f>
        <v/>
      </c>
      <c r="K446" s="31" t="str">
        <f t="shared" si="83"/>
        <v/>
      </c>
      <c r="L446" s="43"/>
      <c r="M446" s="21" t="s">
        <v>667</v>
      </c>
      <c r="N446" s="21"/>
      <c r="O446" s="21"/>
      <c r="P446" s="21"/>
      <c r="Q446" s="21"/>
      <c r="R446" s="21"/>
      <c r="S446" s="21"/>
      <c r="T446" s="21"/>
      <c r="U446" s="21"/>
      <c r="V446" s="21"/>
    </row>
    <row r="447" spans="1:22" s="2" customFormat="1" ht="30" customHeight="1" x14ac:dyDescent="0.25">
      <c r="A447" s="617"/>
      <c r="B447" s="301" t="s">
        <v>255</v>
      </c>
      <c r="C447" s="304" t="s">
        <v>686</v>
      </c>
      <c r="D447" s="100">
        <f>D446+1</f>
        <v>360</v>
      </c>
      <c r="E447" s="435" t="s">
        <v>171</v>
      </c>
      <c r="F447" s="706">
        <v>2</v>
      </c>
      <c r="G447" s="927" t="s">
        <v>618</v>
      </c>
      <c r="H447" s="928"/>
      <c r="I447" s="923"/>
      <c r="J447" s="198" t="str">
        <f>IF(F447="","Belum Terisi",IF(OR(F447=1,F447=2),"","CEK"))</f>
        <v/>
      </c>
      <c r="K447" s="31" t="str">
        <f t="shared" si="83"/>
        <v/>
      </c>
      <c r="L447" s="43"/>
      <c r="M447" s="21" t="s">
        <v>667</v>
      </c>
      <c r="N447" s="21"/>
      <c r="O447" s="21"/>
      <c r="P447" s="21"/>
      <c r="Q447" s="21"/>
      <c r="R447" s="21"/>
      <c r="S447" s="21"/>
      <c r="T447" s="21"/>
      <c r="U447" s="21"/>
      <c r="V447" s="21"/>
    </row>
    <row r="448" spans="1:22" s="2" customFormat="1" ht="30" customHeight="1" x14ac:dyDescent="0.25">
      <c r="A448" s="618"/>
      <c r="B448" s="301" t="s">
        <v>252</v>
      </c>
      <c r="C448" s="304" t="s">
        <v>687</v>
      </c>
      <c r="D448" s="100">
        <f>D447+1</f>
        <v>361</v>
      </c>
      <c r="E448" s="491" t="s">
        <v>250</v>
      </c>
      <c r="F448" s="806">
        <f>IF(AND(F445=1,F446=1,F447=1),5,
IF(AND(F445=1,F446=1,F447=2),5,
IF(AND(F445=1,F446=2,F447=1),5,
IF(AND(F445=1,F446=2,F447=2),4,
IF(AND(F445=1,F446=3,F447=1),5,
IF(AND(F445=1,F446=3,F447=2),3,
IF(AND(F445=2,F446=1,F447=1),4,
IF(AND(F445=2,F446=1,F447=2),4,
IF(AND(F445=2,F446=2,F447=1),3,
IF(AND(F445=2,F446=2,F447=2),2,
IF(AND(F445=2,F446=3,F447=1),3,
IF(AND(F445=2,F446=3,F447=2),2,
IF(AND(F445=3,F446=1,F447=1),4,
IF(AND(F445=3,F446=1,F447=2),2,
IF(AND(F445=3,F446=2,F447=1),2,
IF(AND(F445=3,F446=2,F447=2),1,
IF(AND(F445=3,F446=3,F447=1),1,
IF(AND(F445=3,F446=3,F447=2),1,"Tidak Teridentifikasi"))))))))))))))))))</f>
        <v>2</v>
      </c>
      <c r="G448" s="927" t="s">
        <v>618</v>
      </c>
      <c r="H448" s="928"/>
      <c r="I448" s="923"/>
      <c r="J448" s="198" t="str">
        <f>IF(F448="tidak teridentifikasi","CEK","")</f>
        <v/>
      </c>
      <c r="K448" s="31"/>
      <c r="L448" s="43"/>
      <c r="M448" s="21" t="s">
        <v>667</v>
      </c>
      <c r="N448" s="21"/>
      <c r="O448" s="21"/>
      <c r="P448" s="21"/>
      <c r="Q448" s="21"/>
      <c r="R448" s="21"/>
      <c r="S448" s="21"/>
      <c r="T448" s="21"/>
      <c r="U448" s="21"/>
      <c r="V448" s="21"/>
    </row>
    <row r="449" spans="1:22" s="2" customFormat="1" ht="30" customHeight="1" x14ac:dyDescent="0.25">
      <c r="A449" s="613" t="s">
        <v>388</v>
      </c>
      <c r="B449" s="306"/>
      <c r="C449" s="299"/>
      <c r="D449" s="443"/>
      <c r="E449" s="429"/>
      <c r="F449" s="746"/>
      <c r="G449" s="924"/>
      <c r="H449" s="928"/>
      <c r="I449" s="923"/>
      <c r="J449" s="98"/>
      <c r="K449" s="31"/>
      <c r="L449" s="43"/>
      <c r="M449" s="21" t="s">
        <v>667</v>
      </c>
      <c r="N449" s="21"/>
      <c r="O449" s="21"/>
      <c r="P449" s="21"/>
      <c r="Q449" s="21"/>
      <c r="R449" s="21"/>
      <c r="S449" s="21"/>
      <c r="T449" s="21"/>
      <c r="U449" s="21"/>
      <c r="V449" s="21"/>
    </row>
    <row r="450" spans="1:22" s="2" customFormat="1" ht="30" customHeight="1" x14ac:dyDescent="0.25">
      <c r="A450" s="614" t="str">
        <f>"D "&amp;(RIGHT(A444,3)+1)</f>
        <v>D 207</v>
      </c>
      <c r="B450" s="301" t="s">
        <v>41</v>
      </c>
      <c r="C450" s="304" t="s">
        <v>1391</v>
      </c>
      <c r="D450" s="100">
        <f>D448+1</f>
        <v>362</v>
      </c>
      <c r="E450" s="427" t="s">
        <v>171</v>
      </c>
      <c r="F450" s="693">
        <v>6</v>
      </c>
      <c r="G450" s="927" t="s">
        <v>144</v>
      </c>
      <c r="H450" s="922"/>
      <c r="I450" s="923"/>
      <c r="J450" s="198" t="str">
        <f>IF(F450="","Belum Terisi",IF(OR(F450=2,F450=6,F450=10),"","CEK"))</f>
        <v/>
      </c>
      <c r="K450" s="31" t="str">
        <f t="shared" ref="K450" si="84">IF(J450="CEK","Inputan Tidak Sesuai","")</f>
        <v/>
      </c>
      <c r="L450" s="31"/>
      <c r="M450" s="21" t="s">
        <v>667</v>
      </c>
      <c r="N450" s="847" t="s">
        <v>668</v>
      </c>
      <c r="O450" s="21"/>
      <c r="P450" s="21"/>
      <c r="Q450" s="21"/>
      <c r="R450" s="21"/>
      <c r="S450" s="21"/>
      <c r="T450" s="21"/>
      <c r="U450" s="21"/>
      <c r="V450" s="21"/>
    </row>
    <row r="451" spans="1:22" s="2" customFormat="1" ht="30" customHeight="1" x14ac:dyDescent="0.25">
      <c r="A451" s="617"/>
      <c r="B451" s="307" t="s">
        <v>139</v>
      </c>
      <c r="C451" s="305" t="s">
        <v>1874</v>
      </c>
      <c r="D451" s="100">
        <f t="shared" ref="D451:D460" si="85">D450+1</f>
        <v>363</v>
      </c>
      <c r="E451" s="427" t="s">
        <v>171</v>
      </c>
      <c r="F451" s="694" t="s">
        <v>826</v>
      </c>
      <c r="G451" s="924"/>
      <c r="H451" s="922"/>
      <c r="I451" s="922"/>
      <c r="J451" s="198" t="str">
        <f>IF(F451="","Belum Terisi",IF(AND(F450=2,F451="Aktif"),"CEK",""))</f>
        <v/>
      </c>
      <c r="K451" s="31" t="str">
        <f>IF(J451="CEK","Tidak Terdapat Bumdesa","")</f>
        <v/>
      </c>
      <c r="L451" s="43"/>
      <c r="M451" s="847" t="s">
        <v>667</v>
      </c>
      <c r="N451" s="847" t="s">
        <v>668</v>
      </c>
      <c r="O451" s="21"/>
      <c r="P451" s="21"/>
      <c r="Q451" s="21"/>
      <c r="R451" s="21"/>
      <c r="S451" s="21"/>
      <c r="T451" s="21"/>
      <c r="U451" s="21"/>
      <c r="V451" s="21"/>
    </row>
    <row r="452" spans="1:22" s="2" customFormat="1" ht="49.9" customHeight="1" x14ac:dyDescent="0.25">
      <c r="A452" s="617"/>
      <c r="B452" s="301" t="s">
        <v>251</v>
      </c>
      <c r="C452" s="304" t="s">
        <v>1873</v>
      </c>
      <c r="D452" s="100">
        <f t="shared" si="85"/>
        <v>364</v>
      </c>
      <c r="E452" s="435" t="s">
        <v>389</v>
      </c>
      <c r="F452" s="772" t="s">
        <v>240</v>
      </c>
      <c r="G452" s="927"/>
      <c r="H452" s="928"/>
      <c r="I452" s="923"/>
      <c r="J452" s="198" t="str">
        <f>IF(LEN(F452)&gt;0,"","Belum Terisi")</f>
        <v/>
      </c>
      <c r="K452" s="31"/>
      <c r="L452" s="31"/>
      <c r="M452" s="21" t="s">
        <v>667</v>
      </c>
      <c r="N452" s="21"/>
      <c r="O452" s="21"/>
      <c r="P452" s="21"/>
      <c r="Q452" s="21"/>
      <c r="R452" s="21"/>
      <c r="S452" s="21"/>
      <c r="T452" s="21"/>
      <c r="U452" s="21"/>
      <c r="V452" s="21"/>
    </row>
    <row r="453" spans="1:22" s="2" customFormat="1" ht="30" customHeight="1" x14ac:dyDescent="0.25">
      <c r="A453" s="618"/>
      <c r="B453" s="301" t="s">
        <v>255</v>
      </c>
      <c r="C453" s="304" t="s">
        <v>711</v>
      </c>
      <c r="D453" s="100">
        <f t="shared" si="85"/>
        <v>365</v>
      </c>
      <c r="E453" s="435" t="s">
        <v>171</v>
      </c>
      <c r="F453" s="707">
        <v>4</v>
      </c>
      <c r="G453" s="927" t="s">
        <v>144</v>
      </c>
      <c r="H453" s="928"/>
      <c r="I453" s="923"/>
      <c r="J453" s="198" t="str">
        <f>IF(F453="","Belum Terisi",IF(AND(F451="Tidak Aktif",F453&lt;&gt;1),"CEK",IF(AND(F451="Aktif",F453=1),"CEK",IF(AND(F453&gt;=1,F453&lt;=5),"","CEK"))))</f>
        <v/>
      </c>
      <c r="K453" s="31" t="str">
        <f>IF(AND(J453="CEK",F451="Aktif",F453=1),"Bumdes Aktif",IF(AND(J453="CEK",F451="Tidak Aktif",F453&lt;&gt;1),"Bumdes Tidak Aktif",""))</f>
        <v/>
      </c>
      <c r="L453" s="43"/>
      <c r="M453" s="21" t="s">
        <v>667</v>
      </c>
      <c r="N453" s="21"/>
      <c r="O453" s="21"/>
      <c r="P453" s="21"/>
      <c r="Q453" s="21"/>
      <c r="R453" s="21"/>
      <c r="S453" s="21"/>
      <c r="T453" s="21"/>
      <c r="U453" s="21"/>
      <c r="V453" s="21"/>
    </row>
    <row r="454" spans="1:22" s="2" customFormat="1" ht="30" customHeight="1" x14ac:dyDescent="0.25">
      <c r="A454" s="614" t="str">
        <f>"D "&amp;(RIGHT(A450,3)+1)</f>
        <v>D 208</v>
      </c>
      <c r="B454" s="301" t="s">
        <v>41</v>
      </c>
      <c r="C454" s="304" t="s">
        <v>1392</v>
      </c>
      <c r="D454" s="100">
        <f t="shared" si="85"/>
        <v>366</v>
      </c>
      <c r="E454" s="427" t="s">
        <v>171</v>
      </c>
      <c r="F454" s="693">
        <v>2</v>
      </c>
      <c r="G454" s="927" t="s">
        <v>144</v>
      </c>
      <c r="H454" s="925"/>
      <c r="I454" s="922"/>
      <c r="J454" s="198" t="str">
        <f>IF(F454="","Belum Terisi",IF(OR(F454=2,F454=6,F454=10),"","CEK"))</f>
        <v/>
      </c>
      <c r="K454" s="31" t="str">
        <f t="shared" ref="K454" si="86">IF(J454="CEK","Inputan Tidak Sesuai","")</f>
        <v/>
      </c>
      <c r="L454" s="43"/>
      <c r="M454" s="21" t="s">
        <v>667</v>
      </c>
      <c r="N454" s="847" t="s">
        <v>668</v>
      </c>
      <c r="O454" s="21"/>
      <c r="P454" s="21"/>
      <c r="Q454" s="21"/>
      <c r="R454" s="21"/>
      <c r="S454" s="21"/>
      <c r="T454" s="21"/>
      <c r="U454" s="21"/>
      <c r="V454" s="21"/>
    </row>
    <row r="455" spans="1:22" s="2" customFormat="1" ht="30" customHeight="1" x14ac:dyDescent="0.25">
      <c r="A455" s="617"/>
      <c r="B455" s="301" t="s">
        <v>139</v>
      </c>
      <c r="C455" s="305" t="s">
        <v>1875</v>
      </c>
      <c r="D455" s="100">
        <f t="shared" si="85"/>
        <v>367</v>
      </c>
      <c r="E455" s="427" t="s">
        <v>171</v>
      </c>
      <c r="F455" s="694" t="s">
        <v>827</v>
      </c>
      <c r="G455" s="924"/>
      <c r="H455" s="925"/>
      <c r="I455" s="922"/>
      <c r="J455" s="198" t="str">
        <f>IF(F455="","Belum Terisi",IF(AND(F454=2,F455="Aktif"),"CEK",""))</f>
        <v/>
      </c>
      <c r="K455" s="31" t="str">
        <f>IF(J455="CEK","Tidak Terdapat Bumdesma","")</f>
        <v/>
      </c>
      <c r="L455" s="43"/>
      <c r="M455" s="21"/>
      <c r="N455" s="847" t="s">
        <v>668</v>
      </c>
      <c r="O455" s="21"/>
      <c r="P455" s="21"/>
      <c r="Q455" s="21"/>
      <c r="R455" s="21"/>
      <c r="S455" s="21"/>
      <c r="T455" s="21"/>
      <c r="U455" s="21"/>
      <c r="V455" s="21"/>
    </row>
    <row r="456" spans="1:22" s="2" customFormat="1" ht="49.9" customHeight="1" x14ac:dyDescent="0.25">
      <c r="A456" s="617"/>
      <c r="B456" s="301" t="s">
        <v>251</v>
      </c>
      <c r="C456" s="304" t="s">
        <v>1393</v>
      </c>
      <c r="D456" s="100">
        <f t="shared" si="85"/>
        <v>368</v>
      </c>
      <c r="E456" s="435" t="s">
        <v>389</v>
      </c>
      <c r="F456" s="772" t="s">
        <v>240</v>
      </c>
      <c r="G456" s="927"/>
      <c r="H456" s="928"/>
      <c r="I456" s="923"/>
      <c r="J456" s="198" t="str">
        <f>IF(LEN(F456)&gt;0,"","Belum Terisi")</f>
        <v/>
      </c>
      <c r="K456" s="31"/>
      <c r="L456" s="31"/>
      <c r="M456" s="21" t="s">
        <v>667</v>
      </c>
      <c r="N456" s="21"/>
      <c r="O456" s="21"/>
      <c r="P456" s="21"/>
      <c r="Q456" s="21"/>
      <c r="R456" s="21"/>
      <c r="S456" s="21"/>
      <c r="T456" s="21"/>
      <c r="U456" s="21"/>
      <c r="V456" s="21"/>
    </row>
    <row r="457" spans="1:22" s="2" customFormat="1" ht="30" customHeight="1" x14ac:dyDescent="0.25">
      <c r="A457" s="618"/>
      <c r="B457" s="301" t="s">
        <v>255</v>
      </c>
      <c r="C457" s="304" t="s">
        <v>712</v>
      </c>
      <c r="D457" s="100">
        <f t="shared" si="85"/>
        <v>369</v>
      </c>
      <c r="E457" s="435" t="s">
        <v>171</v>
      </c>
      <c r="F457" s="707">
        <v>1</v>
      </c>
      <c r="G457" s="927" t="s">
        <v>144</v>
      </c>
      <c r="H457" s="928"/>
      <c r="I457" s="923"/>
      <c r="J457" s="198" t="str">
        <f>IF(F457="","Belum Terisi",IF(AND(F455="Tidak Aktif",F457&lt;&gt;1),"CEK",IF(AND(F455="Aktif",F457=1),"CEK",IF(AND(F457&gt;=1,F457&lt;=5),"","CEK"))))</f>
        <v/>
      </c>
      <c r="K457" s="31" t="str">
        <f>IF(AND(J457="CEK",F455="Aktif",F457=1),"Bumdesma Aktif",IF(AND(J457="CEK",F455="Tidak Aktif",F457&lt;&gt;1),"Bumdesma Tidak Aktif",""))</f>
        <v/>
      </c>
      <c r="L457" s="43"/>
      <c r="M457" s="21" t="s">
        <v>667</v>
      </c>
      <c r="N457" s="21"/>
      <c r="O457" s="21"/>
      <c r="P457" s="21"/>
      <c r="Q457" s="21"/>
      <c r="R457" s="21"/>
      <c r="S457" s="21"/>
      <c r="T457" s="21"/>
      <c r="U457" s="21"/>
      <c r="V457" s="21"/>
    </row>
    <row r="458" spans="1:22" s="2" customFormat="1" ht="30" customHeight="1" x14ac:dyDescent="0.25">
      <c r="A458" s="614" t="str">
        <f>"D "&amp;(RIGHT(A454,3)+1)</f>
        <v>D 209</v>
      </c>
      <c r="B458" s="301" t="s">
        <v>41</v>
      </c>
      <c r="C458" s="304" t="s">
        <v>2622</v>
      </c>
      <c r="D458" s="100">
        <f t="shared" si="85"/>
        <v>370</v>
      </c>
      <c r="E458" s="435" t="s">
        <v>171</v>
      </c>
      <c r="F458" s="705">
        <v>1</v>
      </c>
      <c r="G458" s="927" t="s">
        <v>144</v>
      </c>
      <c r="H458" s="928"/>
      <c r="I458" s="923"/>
      <c r="J458" s="198" t="str">
        <f>IF(F458="","Belum Terisi",IF(OR(F458=1,F458=5),"","CEK"))</f>
        <v/>
      </c>
      <c r="K458" s="31" t="str">
        <f t="shared" ref="K458" si="87">IF(J458="CEK","Inputan Tidak Sesuai","")</f>
        <v/>
      </c>
      <c r="L458" s="31"/>
      <c r="M458" s="21" t="s">
        <v>667</v>
      </c>
      <c r="N458" s="847" t="s">
        <v>668</v>
      </c>
      <c r="O458" s="21"/>
      <c r="P458" s="21"/>
      <c r="Q458" s="21"/>
      <c r="R458" s="21"/>
      <c r="S458" s="21"/>
      <c r="T458" s="21"/>
      <c r="U458" s="21"/>
      <c r="V458" s="21"/>
    </row>
    <row r="459" spans="1:22" s="2" customFormat="1" ht="30" customHeight="1" x14ac:dyDescent="0.25">
      <c r="A459" s="617"/>
      <c r="B459" s="301" t="s">
        <v>139</v>
      </c>
      <c r="C459" s="304" t="s">
        <v>1394</v>
      </c>
      <c r="D459" s="100">
        <f t="shared" si="85"/>
        <v>371</v>
      </c>
      <c r="E459" s="435" t="s">
        <v>171</v>
      </c>
      <c r="F459" s="706">
        <v>1</v>
      </c>
      <c r="G459" s="927" t="s">
        <v>144</v>
      </c>
      <c r="H459" s="928"/>
      <c r="I459" s="923"/>
      <c r="J459" s="198" t="str">
        <f>IF(F459="","Belum Terisi",IF(AND($F$458=1,SUM($F$459:$F$460)&lt;&gt;2),"CEK",IF(AND($F$458=5,SUM($F$459:$F$460)=2),"CEK",IF(OR(F459=1,F459=5),"","CEK"))))</f>
        <v/>
      </c>
      <c r="K459" s="31" t="str">
        <f>IF(AND(J459="Cek",$F$458=5),"Ada Lembaga Ekonomi Lainnya",IF(AND(J459="CEK",$F$458=1),"Tidak Ada Lembaga Ekonomi Lainnya",""))</f>
        <v/>
      </c>
      <c r="L459" s="31"/>
      <c r="M459" s="21" t="s">
        <v>667</v>
      </c>
      <c r="N459" s="21"/>
      <c r="O459" s="21"/>
      <c r="P459" s="21"/>
      <c r="Q459" s="21"/>
      <c r="R459" s="21"/>
      <c r="S459" s="21"/>
      <c r="T459" s="21"/>
      <c r="U459" s="21"/>
      <c r="V459" s="21"/>
    </row>
    <row r="460" spans="1:22" s="2" customFormat="1" ht="30" customHeight="1" x14ac:dyDescent="0.25">
      <c r="A460" s="618"/>
      <c r="B460" s="301" t="s">
        <v>251</v>
      </c>
      <c r="C460" s="304" t="s">
        <v>1395</v>
      </c>
      <c r="D460" s="100">
        <f t="shared" si="85"/>
        <v>372</v>
      </c>
      <c r="E460" s="435" t="s">
        <v>171</v>
      </c>
      <c r="F460" s="707">
        <v>1</v>
      </c>
      <c r="G460" s="927" t="s">
        <v>144</v>
      </c>
      <c r="H460" s="940"/>
      <c r="I460" s="923"/>
      <c r="J460" s="198" t="str">
        <f>IF(F460="","Belum Terisi",IF(AND($F$458=1,SUM($F$459:$F$460)&lt;&gt;2),"CEK",IF(AND($F$458=5,SUM($F$459:$F$460)=2),"CEK",IF(OR(F460=1,F460=5),"","CEK"))))</f>
        <v/>
      </c>
      <c r="K460" s="31" t="str">
        <f>IF(AND(J460="Cek",$F$458=5),"Ada Lembaga Ekonomi Lainnya",IF(AND(J460="CEK",$F$458=1),"Tidak Ada Lembaga Ekonomi Lainnya",""))</f>
        <v/>
      </c>
      <c r="L460" s="31"/>
      <c r="M460" s="21" t="s">
        <v>667</v>
      </c>
      <c r="N460" s="847" t="s">
        <v>668</v>
      </c>
      <c r="O460" s="21"/>
      <c r="P460" s="21"/>
      <c r="Q460" s="21"/>
      <c r="R460" s="21"/>
      <c r="S460" s="21"/>
      <c r="T460" s="21"/>
      <c r="U460" s="21"/>
      <c r="V460" s="21"/>
    </row>
    <row r="461" spans="1:22" s="2" customFormat="1" ht="30" customHeight="1" x14ac:dyDescent="0.25">
      <c r="A461" s="613" t="s">
        <v>390</v>
      </c>
      <c r="B461" s="300"/>
      <c r="C461" s="299"/>
      <c r="D461" s="443"/>
      <c r="E461" s="492"/>
      <c r="F461" s="713"/>
      <c r="G461" s="924"/>
      <c r="H461" s="923"/>
      <c r="I461" s="923"/>
      <c r="J461" s="98"/>
      <c r="K461" s="31"/>
      <c r="L461" s="43"/>
      <c r="M461" s="21" t="s">
        <v>667</v>
      </c>
      <c r="N461" s="21"/>
      <c r="O461" s="21"/>
      <c r="P461" s="21"/>
      <c r="Q461" s="21"/>
      <c r="R461" s="21"/>
      <c r="S461" s="21"/>
      <c r="T461" s="21"/>
      <c r="U461" s="21"/>
      <c r="V461" s="21"/>
    </row>
    <row r="462" spans="1:22" s="2" customFormat="1" ht="30" customHeight="1" x14ac:dyDescent="0.25">
      <c r="A462" s="614" t="str">
        <f>"D "&amp;(RIGHT(A458,3)+1)</f>
        <v>D 210</v>
      </c>
      <c r="B462" s="301" t="s">
        <v>41</v>
      </c>
      <c r="C462" s="304" t="s">
        <v>391</v>
      </c>
      <c r="D462" s="100">
        <f>D460+1</f>
        <v>373</v>
      </c>
      <c r="E462" s="435" t="s">
        <v>171</v>
      </c>
      <c r="F462" s="705">
        <v>5</v>
      </c>
      <c r="G462" s="927" t="s">
        <v>619</v>
      </c>
      <c r="H462" s="934"/>
      <c r="I462" s="923"/>
      <c r="J462" s="198" t="str">
        <f>IF(F462="","Belum Terisi",IF(OR(F462=1,F462=5),"","CEK"))</f>
        <v/>
      </c>
      <c r="K462" s="31" t="str">
        <f t="shared" ref="K462" si="88">IF(J462="CEK","Inputan Tidak Sesuai","")</f>
        <v/>
      </c>
      <c r="L462" s="43"/>
      <c r="M462" s="21" t="s">
        <v>667</v>
      </c>
      <c r="N462" s="21"/>
      <c r="O462" s="21"/>
      <c r="P462" s="21"/>
      <c r="Q462" s="21"/>
      <c r="R462" s="21"/>
      <c r="S462" s="21"/>
      <c r="T462" s="21"/>
      <c r="U462" s="21"/>
      <c r="V462" s="21"/>
    </row>
    <row r="463" spans="1:22" s="2" customFormat="1" ht="30" customHeight="1" x14ac:dyDescent="0.25">
      <c r="A463" s="618"/>
      <c r="B463" s="301" t="s">
        <v>139</v>
      </c>
      <c r="C463" s="304" t="s">
        <v>1396</v>
      </c>
      <c r="D463" s="434">
        <f>D462+1</f>
        <v>374</v>
      </c>
      <c r="E463" s="435" t="s">
        <v>171</v>
      </c>
      <c r="F463" s="706">
        <v>2</v>
      </c>
      <c r="G463" s="927" t="s">
        <v>619</v>
      </c>
      <c r="H463" s="928"/>
      <c r="I463" s="923"/>
      <c r="J463" s="198" t="str">
        <f>IF(F463="","Belum Terisi",IF(AND(F462=1,F463&lt;&gt;1),"CEK",IF(AND(F462=5,F463=1),"CEK",IF(AND(F463&gt;=1,F463&lt;=5),"","CEK"))))</f>
        <v/>
      </c>
      <c r="K463" s="31" t="str">
        <f>IF(AND(J463="CEK",F462=5),"Terdapat Layanan Perbankan",IF(AND(J463="CEK",F462=1),"Tidak Terdapat Layanan Perbankan",""))</f>
        <v/>
      </c>
      <c r="L463" s="43"/>
      <c r="M463" s="21" t="s">
        <v>667</v>
      </c>
      <c r="N463" s="21"/>
      <c r="O463" s="21"/>
      <c r="P463" s="21"/>
      <c r="Q463" s="21"/>
      <c r="R463" s="21"/>
      <c r="S463" s="21"/>
      <c r="T463" s="21"/>
      <c r="U463" s="21"/>
      <c r="V463" s="21"/>
    </row>
    <row r="464" spans="1:22" s="2" customFormat="1" ht="30" customHeight="1" x14ac:dyDescent="0.25">
      <c r="A464" s="620" t="str">
        <f>"D "&amp;(RIGHT(A462,3)+1)</f>
        <v>D 211</v>
      </c>
      <c r="B464" s="306"/>
      <c r="C464" s="308" t="s">
        <v>163</v>
      </c>
      <c r="D464" s="434">
        <f>D463+1</f>
        <v>375</v>
      </c>
      <c r="E464" s="427" t="s">
        <v>171</v>
      </c>
      <c r="F464" s="699" t="s">
        <v>285</v>
      </c>
      <c r="G464" s="924"/>
      <c r="H464" s="922"/>
      <c r="I464" s="923"/>
      <c r="J464" s="198" t="str">
        <f>IF(LEN(F464)&gt;0,"","Belum Terisi")</f>
        <v/>
      </c>
      <c r="K464" s="31"/>
      <c r="L464" s="43"/>
      <c r="M464" s="847" t="s">
        <v>667</v>
      </c>
      <c r="N464" s="21"/>
      <c r="O464" s="21"/>
      <c r="P464" s="21"/>
      <c r="Q464" s="21"/>
      <c r="R464" s="21"/>
      <c r="S464" s="21"/>
      <c r="T464" s="21"/>
      <c r="U464" s="21"/>
      <c r="V464" s="21"/>
    </row>
    <row r="465" spans="1:22" s="2" customFormat="1" ht="30" customHeight="1" x14ac:dyDescent="0.25">
      <c r="A465" s="621" t="str">
        <f>"D "&amp;(RIGHT(A464,3)+1)</f>
        <v>D 212</v>
      </c>
      <c r="B465" s="309"/>
      <c r="C465" s="304" t="s">
        <v>884</v>
      </c>
      <c r="D465" s="443"/>
      <c r="E465" s="436"/>
      <c r="F465" s="704"/>
      <c r="G465" s="924"/>
      <c r="H465" s="928"/>
      <c r="I465" s="923"/>
      <c r="J465" s="98"/>
      <c r="K465" s="31"/>
      <c r="L465" s="31"/>
      <c r="M465" s="21" t="s">
        <v>667</v>
      </c>
      <c r="N465" s="21"/>
      <c r="O465" s="21"/>
      <c r="P465" s="21"/>
      <c r="Q465" s="21"/>
      <c r="R465" s="21"/>
      <c r="S465" s="21"/>
      <c r="T465" s="21"/>
      <c r="U465" s="21"/>
      <c r="V465" s="21"/>
    </row>
    <row r="466" spans="1:22" s="2" customFormat="1" ht="30" customHeight="1" x14ac:dyDescent="0.25">
      <c r="A466" s="616"/>
      <c r="B466" s="301" t="s">
        <v>41</v>
      </c>
      <c r="C466" s="304" t="s">
        <v>1397</v>
      </c>
      <c r="D466" s="100">
        <f>D464+1</f>
        <v>376</v>
      </c>
      <c r="E466" s="427" t="s">
        <v>171</v>
      </c>
      <c r="F466" s="693">
        <v>1</v>
      </c>
      <c r="G466" s="927" t="s">
        <v>619</v>
      </c>
      <c r="H466" s="922"/>
      <c r="I466" s="923"/>
      <c r="J466" s="198" t="str">
        <f t="shared" ref="J466:J469" si="89">IF(F466="","Belum Terisi",IF(OR(F466=1,F466=5),"","CEK"))</f>
        <v/>
      </c>
      <c r="K466" s="31" t="str">
        <f t="shared" ref="K466:K469" si="90">IF(J466="CEK","Inputan Tidak Sesuai","")</f>
        <v/>
      </c>
      <c r="L466" s="43"/>
      <c r="M466" s="21" t="s">
        <v>667</v>
      </c>
      <c r="N466" s="21"/>
      <c r="O466" s="21"/>
      <c r="P466" s="21"/>
      <c r="Q466" s="21"/>
      <c r="R466" s="21"/>
      <c r="S466" s="21"/>
      <c r="T466" s="21"/>
      <c r="U466" s="21"/>
      <c r="V466" s="21"/>
    </row>
    <row r="467" spans="1:22" s="2" customFormat="1" ht="30" customHeight="1" x14ac:dyDescent="0.25">
      <c r="A467" s="617"/>
      <c r="B467" s="301" t="s">
        <v>139</v>
      </c>
      <c r="C467" s="304" t="s">
        <v>1398</v>
      </c>
      <c r="D467" s="100">
        <f>D466+1</f>
        <v>377</v>
      </c>
      <c r="E467" s="427" t="s">
        <v>171</v>
      </c>
      <c r="F467" s="694">
        <v>1</v>
      </c>
      <c r="G467" s="927" t="s">
        <v>619</v>
      </c>
      <c r="H467" s="922"/>
      <c r="I467" s="923"/>
      <c r="J467" s="198" t="str">
        <f t="shared" si="89"/>
        <v/>
      </c>
      <c r="K467" s="31" t="str">
        <f t="shared" si="90"/>
        <v/>
      </c>
      <c r="L467" s="43"/>
      <c r="M467" s="21" t="s">
        <v>667</v>
      </c>
      <c r="N467" s="21"/>
      <c r="O467" s="21"/>
      <c r="P467" s="21"/>
      <c r="Q467" s="21"/>
      <c r="R467" s="21"/>
      <c r="S467" s="21"/>
      <c r="T467" s="21"/>
      <c r="U467" s="21"/>
      <c r="V467" s="21"/>
    </row>
    <row r="468" spans="1:22" s="2" customFormat="1" ht="30" customHeight="1" x14ac:dyDescent="0.25">
      <c r="A468" s="617"/>
      <c r="B468" s="301" t="s">
        <v>251</v>
      </c>
      <c r="C468" s="304" t="s">
        <v>1399</v>
      </c>
      <c r="D468" s="100">
        <f>D467+1</f>
        <v>378</v>
      </c>
      <c r="E468" s="427" t="s">
        <v>171</v>
      </c>
      <c r="F468" s="694">
        <v>5</v>
      </c>
      <c r="G468" s="927" t="s">
        <v>619</v>
      </c>
      <c r="H468" s="922"/>
      <c r="I468" s="923"/>
      <c r="J468" s="198" t="str">
        <f t="shared" si="89"/>
        <v/>
      </c>
      <c r="K468" s="31" t="str">
        <f t="shared" si="90"/>
        <v/>
      </c>
      <c r="L468" s="43"/>
      <c r="M468" s="21" t="s">
        <v>667</v>
      </c>
      <c r="N468" s="21"/>
      <c r="O468" s="21"/>
      <c r="P468" s="21"/>
      <c r="Q468" s="21"/>
      <c r="R468" s="21"/>
      <c r="S468" s="21"/>
      <c r="T468" s="21"/>
      <c r="U468" s="21"/>
      <c r="V468" s="21"/>
    </row>
    <row r="469" spans="1:22" s="2" customFormat="1" ht="30" customHeight="1" x14ac:dyDescent="0.25">
      <c r="A469" s="618"/>
      <c r="B469" s="301" t="s">
        <v>255</v>
      </c>
      <c r="C469" s="304" t="s">
        <v>392</v>
      </c>
      <c r="D469" s="100">
        <f>D468+1</f>
        <v>379</v>
      </c>
      <c r="E469" s="435" t="s">
        <v>171</v>
      </c>
      <c r="F469" s="707">
        <v>5</v>
      </c>
      <c r="G469" s="927" t="s">
        <v>619</v>
      </c>
      <c r="H469" s="928"/>
      <c r="I469" s="923"/>
      <c r="J469" s="198" t="str">
        <f t="shared" si="89"/>
        <v/>
      </c>
      <c r="K469" s="31" t="str">
        <f t="shared" si="90"/>
        <v/>
      </c>
      <c r="L469" s="43"/>
      <c r="M469" s="21" t="s">
        <v>667</v>
      </c>
      <c r="N469" s="21"/>
      <c r="O469" s="21"/>
      <c r="P469" s="21"/>
      <c r="Q469" s="21"/>
      <c r="R469" s="21"/>
      <c r="S469" s="21"/>
      <c r="T469" s="21"/>
      <c r="U469" s="21"/>
      <c r="V469" s="21"/>
    </row>
    <row r="470" spans="1:22" s="2" customFormat="1" ht="30" customHeight="1" x14ac:dyDescent="0.25">
      <c r="A470" s="622" t="s">
        <v>1400</v>
      </c>
      <c r="B470" s="310" t="s">
        <v>393</v>
      </c>
      <c r="C470" s="311"/>
      <c r="D470" s="493"/>
      <c r="E470" s="438"/>
      <c r="F470" s="713"/>
      <c r="G470" s="924"/>
      <c r="H470" s="928"/>
      <c r="I470" s="923"/>
      <c r="J470" s="98"/>
      <c r="K470" s="31"/>
      <c r="L470" s="43"/>
      <c r="M470" s="21" t="s">
        <v>667</v>
      </c>
      <c r="N470" s="21"/>
      <c r="O470" s="21"/>
      <c r="P470" s="21"/>
      <c r="Q470" s="21"/>
      <c r="R470" s="21"/>
      <c r="S470" s="21"/>
      <c r="T470" s="21"/>
      <c r="U470" s="21"/>
      <c r="V470" s="21"/>
    </row>
    <row r="471" spans="1:22" s="2" customFormat="1" ht="30" customHeight="1" x14ac:dyDescent="0.25">
      <c r="A471" s="622" t="s">
        <v>1401</v>
      </c>
      <c r="B471" s="310" t="s">
        <v>395</v>
      </c>
      <c r="C471" s="311"/>
      <c r="D471" s="494"/>
      <c r="E471" s="495"/>
      <c r="F471" s="747"/>
      <c r="G471" s="924"/>
      <c r="H471" s="928"/>
      <c r="I471" s="923"/>
      <c r="J471" s="98"/>
      <c r="K471" s="31"/>
      <c r="L471" s="43"/>
      <c r="M471" s="21" t="s">
        <v>667</v>
      </c>
      <c r="N471" s="21"/>
      <c r="O471" s="21"/>
      <c r="P471" s="21"/>
      <c r="Q471" s="21"/>
      <c r="R471" s="21"/>
      <c r="S471" s="21"/>
      <c r="T471" s="21"/>
      <c r="U471" s="21"/>
      <c r="V471" s="21"/>
    </row>
    <row r="472" spans="1:22" s="2" customFormat="1" ht="30" customHeight="1" x14ac:dyDescent="0.25">
      <c r="A472" s="623" t="s">
        <v>396</v>
      </c>
      <c r="B472" s="312"/>
      <c r="C472" s="313"/>
      <c r="D472" s="496"/>
      <c r="E472" s="497"/>
      <c r="F472" s="703"/>
      <c r="G472" s="924"/>
      <c r="H472" s="928"/>
      <c r="I472" s="923"/>
      <c r="J472" s="98"/>
      <c r="K472" s="31"/>
      <c r="L472" s="43"/>
      <c r="M472" s="21" t="s">
        <v>667</v>
      </c>
      <c r="N472" s="21"/>
      <c r="O472" s="21"/>
      <c r="P472" s="21"/>
      <c r="Q472" s="21"/>
      <c r="R472" s="21"/>
      <c r="S472" s="21"/>
      <c r="T472" s="21"/>
      <c r="U472" s="21"/>
      <c r="V472" s="21"/>
    </row>
    <row r="473" spans="1:22" s="2" customFormat="1" ht="49.9" customHeight="1" x14ac:dyDescent="0.25">
      <c r="A473" s="624" t="s">
        <v>1402</v>
      </c>
      <c r="B473" s="314" t="s">
        <v>41</v>
      </c>
      <c r="C473" s="315" t="s">
        <v>397</v>
      </c>
      <c r="D473" s="434">
        <f>D469+1</f>
        <v>380</v>
      </c>
      <c r="E473" s="435" t="s">
        <v>174</v>
      </c>
      <c r="F473" s="728" t="s">
        <v>2816</v>
      </c>
      <c r="G473" s="927"/>
      <c r="H473" s="928"/>
      <c r="I473" s="923"/>
      <c r="J473" s="198" t="str">
        <f t="shared" ref="J473:J479" si="91">IF(LEN(F473)&gt;0,"","Belum Terisi")</f>
        <v/>
      </c>
      <c r="K473" s="31"/>
      <c r="L473" s="43"/>
      <c r="M473" s="21" t="s">
        <v>667</v>
      </c>
      <c r="N473" s="847" t="s">
        <v>668</v>
      </c>
      <c r="O473" s="21"/>
      <c r="P473" s="21"/>
      <c r="Q473" s="21"/>
      <c r="R473" s="21"/>
      <c r="S473" s="21"/>
      <c r="T473" s="21"/>
      <c r="U473" s="21"/>
      <c r="V473" s="21"/>
    </row>
    <row r="474" spans="1:22" s="2" customFormat="1" ht="40.15" customHeight="1" x14ac:dyDescent="0.25">
      <c r="A474" s="625"/>
      <c r="B474" s="314" t="s">
        <v>139</v>
      </c>
      <c r="C474" s="316" t="s">
        <v>398</v>
      </c>
      <c r="D474" s="434">
        <f t="shared" ref="D474:D479" si="92">D473+1</f>
        <v>381</v>
      </c>
      <c r="E474" s="435" t="s">
        <v>171</v>
      </c>
      <c r="F474" s="686">
        <v>5</v>
      </c>
      <c r="G474" s="927" t="s">
        <v>620</v>
      </c>
      <c r="H474" s="928"/>
      <c r="I474" s="923"/>
      <c r="J474" s="198" t="str">
        <f>IF(F474="","Belum Terisi",IF(OR(F474=1,F474=3,F474=5),"","CEK"))</f>
        <v/>
      </c>
      <c r="K474" s="31" t="str">
        <f t="shared" ref="K474" si="93">IF(J474="CEK","Inputan Tidak Sesuai","")</f>
        <v/>
      </c>
      <c r="L474" s="31"/>
      <c r="M474" s="21" t="s">
        <v>667</v>
      </c>
      <c r="N474" s="847" t="s">
        <v>668</v>
      </c>
      <c r="O474" s="21"/>
      <c r="P474" s="21"/>
      <c r="Q474" s="21"/>
      <c r="R474" s="21"/>
      <c r="S474" s="21"/>
      <c r="T474" s="21"/>
      <c r="U474" s="21"/>
      <c r="V474" s="21"/>
    </row>
    <row r="475" spans="1:22" s="2" customFormat="1" ht="49.9" customHeight="1" x14ac:dyDescent="0.25">
      <c r="A475" s="625"/>
      <c r="B475" s="314" t="s">
        <v>251</v>
      </c>
      <c r="C475" s="315" t="s">
        <v>399</v>
      </c>
      <c r="D475" s="434">
        <f t="shared" si="92"/>
        <v>382</v>
      </c>
      <c r="E475" s="435" t="s">
        <v>174</v>
      </c>
      <c r="F475" s="728" t="s">
        <v>2817</v>
      </c>
      <c r="G475" s="927"/>
      <c r="H475" s="928"/>
      <c r="I475" s="923"/>
      <c r="J475" s="198" t="str">
        <f t="shared" si="91"/>
        <v/>
      </c>
      <c r="K475" s="31"/>
      <c r="L475" s="43"/>
      <c r="M475" s="21" t="s">
        <v>667</v>
      </c>
      <c r="N475" s="847" t="s">
        <v>668</v>
      </c>
      <c r="O475" s="21"/>
      <c r="P475" s="21"/>
      <c r="Q475" s="21"/>
      <c r="R475" s="21"/>
      <c r="S475" s="21"/>
      <c r="T475" s="21"/>
      <c r="U475" s="21"/>
      <c r="V475" s="21"/>
    </row>
    <row r="476" spans="1:22" s="2" customFormat="1" ht="30" customHeight="1" x14ac:dyDescent="0.25">
      <c r="A476" s="625"/>
      <c r="B476" s="314" t="s">
        <v>255</v>
      </c>
      <c r="C476" s="315" t="s">
        <v>400</v>
      </c>
      <c r="D476" s="434">
        <f t="shared" si="92"/>
        <v>383</v>
      </c>
      <c r="E476" s="435" t="s">
        <v>171</v>
      </c>
      <c r="F476" s="686">
        <v>1</v>
      </c>
      <c r="G476" s="927" t="s">
        <v>620</v>
      </c>
      <c r="H476" s="928"/>
      <c r="I476" s="923"/>
      <c r="J476" s="198" t="str">
        <f t="shared" ref="J476:J477" si="94">IF(F476="","Belum Terisi",IF(OR(F476=1,F476=5),"","CEK"))</f>
        <v/>
      </c>
      <c r="K476" s="31" t="str">
        <f t="shared" ref="K476:K477" si="95">IF(J476="CEK","Inputan Tidak Sesuai","")</f>
        <v/>
      </c>
      <c r="L476" s="43"/>
      <c r="M476" s="21" t="s">
        <v>667</v>
      </c>
      <c r="N476" s="847" t="s">
        <v>668</v>
      </c>
      <c r="O476" s="21"/>
      <c r="P476" s="21"/>
      <c r="Q476" s="21"/>
      <c r="R476" s="21"/>
      <c r="S476" s="21"/>
      <c r="T476" s="21"/>
      <c r="U476" s="21"/>
      <c r="V476" s="21"/>
    </row>
    <row r="477" spans="1:22" s="2" customFormat="1" ht="40.15" customHeight="1" x14ac:dyDescent="0.25">
      <c r="A477" s="625"/>
      <c r="B477" s="314" t="s">
        <v>252</v>
      </c>
      <c r="C477" s="315" t="s">
        <v>401</v>
      </c>
      <c r="D477" s="434">
        <f t="shared" si="92"/>
        <v>384</v>
      </c>
      <c r="E477" s="435" t="s">
        <v>171</v>
      </c>
      <c r="F477" s="686">
        <v>1</v>
      </c>
      <c r="G477" s="927" t="s">
        <v>620</v>
      </c>
      <c r="H477" s="928"/>
      <c r="I477" s="923"/>
      <c r="J477" s="198" t="str">
        <f t="shared" si="94"/>
        <v/>
      </c>
      <c r="K477" s="31" t="str">
        <f t="shared" si="95"/>
        <v/>
      </c>
      <c r="L477" s="43"/>
      <c r="M477" s="21" t="s">
        <v>667</v>
      </c>
      <c r="N477" s="847" t="s">
        <v>668</v>
      </c>
      <c r="O477" s="21"/>
      <c r="P477" s="21"/>
      <c r="Q477" s="21"/>
      <c r="R477" s="21"/>
      <c r="S477" s="21"/>
      <c r="T477" s="21"/>
      <c r="U477" s="21"/>
      <c r="V477" s="21"/>
    </row>
    <row r="478" spans="1:22" s="2" customFormat="1" ht="40.15" customHeight="1" x14ac:dyDescent="0.25">
      <c r="A478" s="625"/>
      <c r="B478" s="317" t="s">
        <v>253</v>
      </c>
      <c r="C478" s="318" t="s">
        <v>1876</v>
      </c>
      <c r="D478" s="434">
        <f t="shared" si="92"/>
        <v>385</v>
      </c>
      <c r="E478" s="498" t="s">
        <v>250</v>
      </c>
      <c r="F478" s="748">
        <f>IF(COUNTIF(F556:F564,"ada")&gt;0,5,1)</f>
        <v>1</v>
      </c>
      <c r="G478" s="927" t="s">
        <v>620</v>
      </c>
      <c r="H478" s="928"/>
      <c r="I478" s="923"/>
      <c r="J478" s="198" t="str">
        <f t="shared" si="91"/>
        <v/>
      </c>
      <c r="K478" s="31"/>
      <c r="L478" s="43"/>
      <c r="M478" s="21"/>
      <c r="N478" s="847" t="s">
        <v>668</v>
      </c>
      <c r="O478" s="21"/>
      <c r="P478" s="21"/>
      <c r="Q478" s="21"/>
      <c r="R478" s="21"/>
      <c r="S478" s="21"/>
      <c r="T478" s="21"/>
      <c r="U478" s="21"/>
      <c r="V478" s="21"/>
    </row>
    <row r="479" spans="1:22" s="2" customFormat="1" ht="49.9" customHeight="1" x14ac:dyDescent="0.25">
      <c r="A479" s="626"/>
      <c r="B479" s="314" t="s">
        <v>254</v>
      </c>
      <c r="C479" s="315" t="s">
        <v>402</v>
      </c>
      <c r="D479" s="434">
        <f t="shared" si="92"/>
        <v>386</v>
      </c>
      <c r="E479" s="435" t="s">
        <v>174</v>
      </c>
      <c r="F479" s="686" t="s">
        <v>240</v>
      </c>
      <c r="G479" s="941"/>
      <c r="H479" s="928"/>
      <c r="I479" s="923"/>
      <c r="J479" s="198" t="str">
        <f t="shared" si="91"/>
        <v/>
      </c>
      <c r="K479" s="31"/>
      <c r="L479" s="43"/>
      <c r="M479" s="21" t="s">
        <v>667</v>
      </c>
      <c r="N479" s="21"/>
      <c r="O479" s="21"/>
      <c r="P479" s="21"/>
      <c r="Q479" s="21"/>
      <c r="R479" s="21"/>
      <c r="S479" s="21"/>
      <c r="T479" s="21"/>
      <c r="U479" s="21"/>
      <c r="V479" s="21"/>
    </row>
    <row r="480" spans="1:22" s="2" customFormat="1" ht="30" customHeight="1" x14ac:dyDescent="0.25">
      <c r="A480" s="623" t="s">
        <v>403</v>
      </c>
      <c r="B480" s="312"/>
      <c r="C480" s="311"/>
      <c r="D480" s="499"/>
      <c r="E480" s="489"/>
      <c r="F480" s="734"/>
      <c r="G480" s="941"/>
      <c r="H480" s="928"/>
      <c r="I480" s="923"/>
      <c r="J480" s="98"/>
      <c r="K480" s="31"/>
      <c r="L480" s="31"/>
      <c r="M480" s="21" t="s">
        <v>667</v>
      </c>
      <c r="N480" s="21"/>
      <c r="O480" s="21"/>
      <c r="P480" s="21"/>
      <c r="Q480" s="21"/>
      <c r="R480" s="21"/>
      <c r="S480" s="21"/>
      <c r="T480" s="21"/>
      <c r="U480" s="21"/>
      <c r="V480" s="21"/>
    </row>
    <row r="481" spans="1:22" s="2" customFormat="1" ht="30" customHeight="1" x14ac:dyDescent="0.25">
      <c r="A481" s="624" t="str">
        <f>"E "&amp;(RIGHT(A473,3)+1)</f>
        <v>E 102</v>
      </c>
      <c r="B481" s="314" t="s">
        <v>41</v>
      </c>
      <c r="C481" s="316" t="s">
        <v>404</v>
      </c>
      <c r="D481" s="434">
        <f>D479+1</f>
        <v>387</v>
      </c>
      <c r="E481" s="435" t="s">
        <v>171</v>
      </c>
      <c r="F481" s="686">
        <v>1</v>
      </c>
      <c r="G481" s="941" t="s">
        <v>621</v>
      </c>
      <c r="H481" s="928"/>
      <c r="I481" s="923"/>
      <c r="J481" s="198" t="str">
        <f t="shared" ref="J481" si="96">IF(F481="","Belum Terisi",IF(OR(F481=1,F481=5),"","CEK"))</f>
        <v/>
      </c>
      <c r="K481" s="31" t="str">
        <f t="shared" ref="K481" si="97">IF(J481="CEK","Inputan Tidak Sesuai","")</f>
        <v/>
      </c>
      <c r="L481" s="31"/>
      <c r="M481" s="21" t="s">
        <v>667</v>
      </c>
      <c r="N481" s="847" t="s">
        <v>668</v>
      </c>
      <c r="O481" s="21"/>
      <c r="P481" s="21"/>
      <c r="Q481" s="21"/>
      <c r="R481" s="21"/>
      <c r="S481" s="21"/>
      <c r="T481" s="21"/>
      <c r="U481" s="21"/>
      <c r="V481" s="21"/>
    </row>
    <row r="482" spans="1:22" s="2" customFormat="1" ht="30" customHeight="1" x14ac:dyDescent="0.25">
      <c r="A482" s="863"/>
      <c r="B482" s="314" t="s">
        <v>139</v>
      </c>
      <c r="C482" s="319" t="s">
        <v>84</v>
      </c>
      <c r="D482" s="434">
        <f t="shared" ref="D482:D487" si="98">D481+1</f>
        <v>388</v>
      </c>
      <c r="E482" s="429" t="s">
        <v>171</v>
      </c>
      <c r="F482" s="699">
        <v>4</v>
      </c>
      <c r="G482" s="924"/>
      <c r="H482" s="922"/>
      <c r="I482" s="947"/>
      <c r="J482" s="198" t="str">
        <f>IF(F482="","Belum Terisi",IF(AND(F481=1,F482=1),"CEK",""))</f>
        <v/>
      </c>
      <c r="K482" s="31" t="str">
        <f>IF(AND(J482="CEK",F481=1),"Desa Tidak Memiliki Tempat Penampungan Sampah","")</f>
        <v/>
      </c>
      <c r="L482" s="43"/>
      <c r="M482" s="21"/>
      <c r="N482" s="21"/>
      <c r="O482" s="21"/>
      <c r="P482" s="21"/>
      <c r="Q482" s="21"/>
      <c r="R482" s="21"/>
      <c r="S482" s="21"/>
      <c r="T482" s="21"/>
      <c r="U482" s="21"/>
      <c r="V482" s="21"/>
    </row>
    <row r="483" spans="1:22" s="2" customFormat="1" ht="30" customHeight="1" x14ac:dyDescent="0.25">
      <c r="A483" s="625"/>
      <c r="B483" s="314" t="s">
        <v>251</v>
      </c>
      <c r="C483" s="316" t="s">
        <v>874</v>
      </c>
      <c r="D483" s="434">
        <f t="shared" si="98"/>
        <v>389</v>
      </c>
      <c r="E483" s="435" t="s">
        <v>174</v>
      </c>
      <c r="F483" s="686" t="s">
        <v>2818</v>
      </c>
      <c r="G483" s="941"/>
      <c r="H483" s="928"/>
      <c r="I483" s="923"/>
      <c r="J483" s="198" t="str">
        <f>IF(LEN(F483)&gt;0,"","Belum Terisi")</f>
        <v/>
      </c>
      <c r="K483" s="31"/>
      <c r="L483" s="43"/>
      <c r="M483" s="21" t="s">
        <v>667</v>
      </c>
      <c r="N483" s="847" t="s">
        <v>668</v>
      </c>
      <c r="O483" s="21"/>
      <c r="P483" s="21"/>
      <c r="Q483" s="21"/>
      <c r="R483" s="21"/>
      <c r="S483" s="21"/>
      <c r="T483" s="21"/>
      <c r="U483" s="21"/>
      <c r="V483" s="21"/>
    </row>
    <row r="484" spans="1:22" s="2" customFormat="1" ht="30" customHeight="1" x14ac:dyDescent="0.25">
      <c r="A484" s="625"/>
      <c r="B484" s="314" t="s">
        <v>255</v>
      </c>
      <c r="C484" s="315" t="s">
        <v>405</v>
      </c>
      <c r="D484" s="434">
        <f t="shared" si="98"/>
        <v>390</v>
      </c>
      <c r="E484" s="435" t="s">
        <v>171</v>
      </c>
      <c r="F484" s="686">
        <v>1</v>
      </c>
      <c r="G484" s="941" t="s">
        <v>621</v>
      </c>
      <c r="H484" s="928"/>
      <c r="I484" s="923"/>
      <c r="J484" s="198" t="str">
        <f t="shared" ref="J484" si="99">IF(F484="","Belum Terisi",IF(OR(F484=1,F484=5),"","CEK"))</f>
        <v/>
      </c>
      <c r="K484" s="31" t="str">
        <f t="shared" ref="K484:K486" si="100">IF(J484="CEK","Inputan Tidak Sesuai","")</f>
        <v/>
      </c>
      <c r="L484" s="43"/>
      <c r="M484" s="21" t="s">
        <v>667</v>
      </c>
      <c r="N484" s="21" t="s">
        <v>668</v>
      </c>
      <c r="O484" s="21"/>
      <c r="P484" s="21"/>
      <c r="Q484" s="21"/>
      <c r="R484" s="21"/>
      <c r="S484" s="21"/>
      <c r="T484" s="21"/>
      <c r="U484" s="21"/>
      <c r="V484" s="21"/>
    </row>
    <row r="485" spans="1:22" s="2" customFormat="1" ht="49.9" customHeight="1" x14ac:dyDescent="0.25">
      <c r="A485" s="625"/>
      <c r="B485" s="314" t="s">
        <v>252</v>
      </c>
      <c r="C485" s="315" t="s">
        <v>406</v>
      </c>
      <c r="D485" s="434">
        <f t="shared" si="98"/>
        <v>391</v>
      </c>
      <c r="E485" s="435" t="s">
        <v>174</v>
      </c>
      <c r="F485" s="728" t="s">
        <v>240</v>
      </c>
      <c r="G485" s="941"/>
      <c r="H485" s="928"/>
      <c r="I485" s="923"/>
      <c r="J485" s="198" t="str">
        <f>IF(F485="","Belum Terisi",IF(AND(F484=5,OR(F485="-",F485="Tidak Ada",LEN(F485)&lt;4)),"CEK",""))</f>
        <v/>
      </c>
      <c r="K485" s="31" t="str">
        <f>IF(AND(J485="CEK",F484=5),"Sampah Diolah","")</f>
        <v/>
      </c>
      <c r="L485" s="43"/>
      <c r="M485" s="21" t="s">
        <v>667</v>
      </c>
      <c r="N485" s="21" t="s">
        <v>668</v>
      </c>
      <c r="O485" s="21"/>
      <c r="P485" s="21"/>
      <c r="Q485" s="21"/>
      <c r="R485" s="21"/>
      <c r="S485" s="21"/>
      <c r="T485" s="21"/>
      <c r="U485" s="21"/>
      <c r="V485" s="21"/>
    </row>
    <row r="486" spans="1:22" s="2" customFormat="1" ht="30" customHeight="1" x14ac:dyDescent="0.25">
      <c r="A486" s="625"/>
      <c r="B486" s="314" t="s">
        <v>253</v>
      </c>
      <c r="C486" s="315" t="s">
        <v>407</v>
      </c>
      <c r="D486" s="434">
        <f t="shared" si="98"/>
        <v>392</v>
      </c>
      <c r="E486" s="435" t="s">
        <v>171</v>
      </c>
      <c r="F486" s="686">
        <v>5</v>
      </c>
      <c r="G486" s="941" t="s">
        <v>621</v>
      </c>
      <c r="H486" s="928"/>
      <c r="I486" s="923"/>
      <c r="J486" s="198" t="str">
        <f t="shared" ref="J486" si="101">IF(F486="","Belum Terisi",IF(OR(F486=1,F486=5),"","CEK"))</f>
        <v/>
      </c>
      <c r="K486" s="31" t="str">
        <f t="shared" si="100"/>
        <v/>
      </c>
      <c r="L486" s="31"/>
      <c r="M486" s="21" t="s">
        <v>667</v>
      </c>
      <c r="N486" s="21" t="s">
        <v>668</v>
      </c>
      <c r="O486" s="21"/>
      <c r="P486" s="21"/>
      <c r="Q486" s="21"/>
      <c r="R486" s="21"/>
      <c r="S486" s="21"/>
      <c r="T486" s="21"/>
      <c r="U486" s="21"/>
      <c r="V486" s="21"/>
    </row>
    <row r="487" spans="1:22" s="2" customFormat="1" ht="49.9" customHeight="1" x14ac:dyDescent="0.25">
      <c r="A487" s="628"/>
      <c r="B487" s="314" t="s">
        <v>254</v>
      </c>
      <c r="C487" s="315" t="s">
        <v>408</v>
      </c>
      <c r="D487" s="434">
        <f t="shared" si="98"/>
        <v>393</v>
      </c>
      <c r="E487" s="435" t="s">
        <v>174</v>
      </c>
      <c r="F487" s="728" t="s">
        <v>2819</v>
      </c>
      <c r="G487" s="941"/>
      <c r="H487" s="928"/>
      <c r="I487" s="923"/>
      <c r="J487" s="198" t="str">
        <f>IF(F487="","Belum Terisi",IF(AND(F486=5,OR(F487="-",F487="Tidak Ada",LEN(F487)&lt;4)),"CEK",""))</f>
        <v/>
      </c>
      <c r="K487" s="31" t="str">
        <f>IF(AND(J487="CEK",F486=5),"Sampah Dimanfaatkan","")</f>
        <v/>
      </c>
      <c r="L487" s="43"/>
      <c r="M487" s="21" t="s">
        <v>667</v>
      </c>
      <c r="N487" s="21" t="s">
        <v>668</v>
      </c>
      <c r="O487" s="21"/>
      <c r="P487" s="21"/>
      <c r="Q487" s="21"/>
      <c r="R487" s="21"/>
      <c r="S487" s="21"/>
      <c r="T487" s="21"/>
      <c r="U487" s="21"/>
      <c r="V487" s="21"/>
    </row>
    <row r="488" spans="1:22" s="2" customFormat="1" ht="30" customHeight="1" x14ac:dyDescent="0.25">
      <c r="A488" s="623" t="s">
        <v>409</v>
      </c>
      <c r="B488" s="312"/>
      <c r="C488" s="311"/>
      <c r="D488" s="443"/>
      <c r="E488" s="489"/>
      <c r="F488" s="734"/>
      <c r="G488" s="941"/>
      <c r="H488" s="928"/>
      <c r="I488" s="923"/>
      <c r="J488" s="98"/>
      <c r="K488" s="31"/>
      <c r="L488" s="31"/>
      <c r="M488" s="21" t="s">
        <v>667</v>
      </c>
      <c r="N488" s="21"/>
      <c r="O488" s="21"/>
      <c r="P488" s="21"/>
      <c r="Q488" s="21"/>
      <c r="R488" s="21"/>
      <c r="S488" s="21"/>
      <c r="T488" s="21"/>
      <c r="U488" s="21"/>
      <c r="V488" s="21"/>
    </row>
    <row r="489" spans="1:22" s="2" customFormat="1" ht="30" customHeight="1" x14ac:dyDescent="0.25">
      <c r="A489" s="624" t="str">
        <f>"E "&amp;(RIGHT(A481,3)+1)</f>
        <v>E 103</v>
      </c>
      <c r="B489" s="314" t="s">
        <v>41</v>
      </c>
      <c r="C489" s="320" t="s">
        <v>410</v>
      </c>
      <c r="D489" s="434">
        <f>D487+1</f>
        <v>394</v>
      </c>
      <c r="E489" s="435" t="s">
        <v>171</v>
      </c>
      <c r="F489" s="705">
        <v>0</v>
      </c>
      <c r="G489" s="927" t="s">
        <v>622</v>
      </c>
      <c r="H489" s="934"/>
      <c r="I489" s="923"/>
      <c r="J489" s="198" t="str">
        <f>IF(F489="","Belum Terisi",IF(OR(F489=0,F489=1),"","CEK"))</f>
        <v/>
      </c>
      <c r="K489" s="31" t="str">
        <f t="shared" ref="K489:K491" si="102">IF(J489="CEK","Inputan Tidak Sesuai","")</f>
        <v/>
      </c>
      <c r="L489" s="43"/>
      <c r="M489" s="21" t="s">
        <v>667</v>
      </c>
      <c r="N489" s="21"/>
      <c r="O489" s="21"/>
      <c r="P489" s="21"/>
      <c r="Q489" s="21"/>
      <c r="R489" s="21"/>
      <c r="S489" s="21"/>
      <c r="T489" s="21"/>
      <c r="U489" s="21"/>
      <c r="V489" s="21"/>
    </row>
    <row r="490" spans="1:22" s="2" customFormat="1" ht="30" customHeight="1" x14ac:dyDescent="0.25">
      <c r="A490" s="629"/>
      <c r="B490" s="314" t="s">
        <v>139</v>
      </c>
      <c r="C490" s="320" t="s">
        <v>411</v>
      </c>
      <c r="D490" s="434">
        <f>D489+1</f>
        <v>395</v>
      </c>
      <c r="E490" s="435" t="s">
        <v>171</v>
      </c>
      <c r="F490" s="706">
        <v>0</v>
      </c>
      <c r="G490" s="927" t="s">
        <v>622</v>
      </c>
      <c r="H490" s="934"/>
      <c r="I490" s="923"/>
      <c r="J490" s="198" t="str">
        <f t="shared" ref="J490:J491" si="103">IF(F490="","Belum Terisi",IF(OR(F490=0,F490=1),"","CEK"))</f>
        <v/>
      </c>
      <c r="K490" s="31" t="str">
        <f t="shared" si="102"/>
        <v/>
      </c>
      <c r="L490" s="43"/>
      <c r="M490" s="21" t="s">
        <v>667</v>
      </c>
      <c r="N490" s="21"/>
      <c r="O490" s="21"/>
      <c r="P490" s="21"/>
      <c r="Q490" s="21"/>
      <c r="R490" s="21"/>
      <c r="S490" s="21"/>
      <c r="T490" s="21"/>
      <c r="U490" s="21"/>
      <c r="V490" s="21"/>
    </row>
    <row r="491" spans="1:22" s="2" customFormat="1" ht="30" customHeight="1" x14ac:dyDescent="0.25">
      <c r="A491" s="629"/>
      <c r="B491" s="314" t="s">
        <v>251</v>
      </c>
      <c r="C491" s="320" t="s">
        <v>412</v>
      </c>
      <c r="D491" s="434">
        <f>D490+1</f>
        <v>396</v>
      </c>
      <c r="E491" s="435" t="s">
        <v>171</v>
      </c>
      <c r="F491" s="706">
        <v>0</v>
      </c>
      <c r="G491" s="927" t="s">
        <v>622</v>
      </c>
      <c r="H491" s="934"/>
      <c r="I491" s="923"/>
      <c r="J491" s="198" t="str">
        <f t="shared" si="103"/>
        <v/>
      </c>
      <c r="K491" s="31" t="str">
        <f t="shared" si="102"/>
        <v/>
      </c>
      <c r="L491" s="43"/>
      <c r="M491" s="21" t="s">
        <v>667</v>
      </c>
      <c r="N491" s="21"/>
      <c r="O491" s="21"/>
      <c r="P491" s="21"/>
      <c r="Q491" s="21"/>
      <c r="R491" s="21"/>
      <c r="S491" s="21"/>
      <c r="T491" s="21"/>
      <c r="U491" s="21"/>
      <c r="V491" s="21"/>
    </row>
    <row r="492" spans="1:22" s="2" customFormat="1" ht="30" customHeight="1" x14ac:dyDescent="0.25">
      <c r="A492" s="629"/>
      <c r="B492" s="314" t="s">
        <v>255</v>
      </c>
      <c r="C492" s="320" t="s">
        <v>413</v>
      </c>
      <c r="D492" s="434">
        <f>D491+1</f>
        <v>397</v>
      </c>
      <c r="E492" s="53" t="s">
        <v>250</v>
      </c>
      <c r="F492" s="813">
        <f>IF(OR(F489="",F490="",F491=""),"Tidak teridentifikasi",SUM(F489:F491))</f>
        <v>0</v>
      </c>
      <c r="G492" s="927" t="s">
        <v>622</v>
      </c>
      <c r="H492" s="928"/>
      <c r="I492" s="923"/>
      <c r="J492" s="198" t="str">
        <f>IF(F492="tidak teridentifikasi","CEK","")</f>
        <v/>
      </c>
      <c r="K492" s="31"/>
      <c r="L492" s="31"/>
      <c r="M492" s="21" t="s">
        <v>667</v>
      </c>
      <c r="N492" s="21"/>
      <c r="O492" s="21"/>
      <c r="P492" s="21"/>
      <c r="Q492" s="21"/>
      <c r="R492" s="21"/>
      <c r="S492" s="21"/>
      <c r="T492" s="21"/>
      <c r="U492" s="21"/>
      <c r="V492" s="21"/>
    </row>
    <row r="493" spans="1:22" s="2" customFormat="1" ht="30" customHeight="1" x14ac:dyDescent="0.25">
      <c r="A493" s="628"/>
      <c r="B493" s="314" t="s">
        <v>252</v>
      </c>
      <c r="C493" s="320" t="s">
        <v>414</v>
      </c>
      <c r="D493" s="434">
        <f>D492+1</f>
        <v>398</v>
      </c>
      <c r="E493" s="54">
        <f>IFERROR(F492/3,"Tidak Teridentifikasi")</f>
        <v>0</v>
      </c>
      <c r="F493" s="814">
        <f>IF(E493=0,5,
IF(AND(E493&gt;0,E493&lt;0.5),4,
IF(AND(E493&gt;=0.5,E493&lt;1),2,
IF(E493=1,1,"Tidak Teridentifikasi"))))</f>
        <v>5</v>
      </c>
      <c r="G493" s="927" t="s">
        <v>622</v>
      </c>
      <c r="H493" s="928"/>
      <c r="I493" s="923"/>
      <c r="J493" s="198" t="str">
        <f>IF(F493="tidak teridentifikasi","CEK","")</f>
        <v/>
      </c>
      <c r="K493" s="31"/>
      <c r="L493" s="43"/>
      <c r="M493" s="21" t="s">
        <v>667</v>
      </c>
      <c r="N493" s="21"/>
      <c r="O493" s="21"/>
      <c r="P493" s="21"/>
      <c r="Q493" s="21"/>
      <c r="R493" s="21"/>
      <c r="S493" s="21"/>
      <c r="T493" s="21"/>
      <c r="U493" s="21"/>
      <c r="V493" s="21"/>
    </row>
    <row r="494" spans="1:22" s="2" customFormat="1" ht="30" customHeight="1" x14ac:dyDescent="0.25">
      <c r="A494" s="623" t="s">
        <v>302</v>
      </c>
      <c r="B494" s="310"/>
      <c r="C494" s="311"/>
      <c r="D494" s="441"/>
      <c r="E494" s="429"/>
      <c r="F494" s="714"/>
      <c r="G494" s="924"/>
      <c r="H494" s="922"/>
      <c r="I494" s="923"/>
      <c r="J494" s="98"/>
      <c r="K494" s="31"/>
      <c r="L494" s="43"/>
      <c r="M494" s="21" t="s">
        <v>667</v>
      </c>
      <c r="N494" s="21"/>
      <c r="O494" s="21"/>
      <c r="P494" s="21"/>
      <c r="Q494" s="21"/>
      <c r="R494" s="21"/>
      <c r="S494" s="21"/>
      <c r="T494" s="21"/>
      <c r="U494" s="21"/>
      <c r="V494" s="21"/>
    </row>
    <row r="495" spans="1:22" s="2" customFormat="1" ht="30" customHeight="1" x14ac:dyDescent="0.25">
      <c r="A495" s="624" t="str">
        <f>"E "&amp;(RIGHT(A489,3)+1)</f>
        <v>E 104</v>
      </c>
      <c r="B495" s="314" t="s">
        <v>41</v>
      </c>
      <c r="C495" s="320" t="s">
        <v>303</v>
      </c>
      <c r="D495" s="434">
        <f>D493+1</f>
        <v>399</v>
      </c>
      <c r="E495" s="435" t="s">
        <v>171</v>
      </c>
      <c r="F495" s="705" t="s">
        <v>263</v>
      </c>
      <c r="G495" s="924"/>
      <c r="H495" s="922"/>
      <c r="I495" s="923"/>
      <c r="J495" s="198" t="str">
        <f>IF(LEN(F495)&gt;0,"","Belum Terisi")</f>
        <v/>
      </c>
      <c r="K495" s="31"/>
      <c r="L495" s="43"/>
      <c r="M495" s="21" t="s">
        <v>667</v>
      </c>
      <c r="N495" s="21"/>
      <c r="O495" s="21"/>
      <c r="P495" s="21"/>
      <c r="Q495" s="21"/>
      <c r="R495" s="21"/>
      <c r="S495" s="21"/>
      <c r="T495" s="21"/>
      <c r="U495" s="21"/>
      <c r="V495" s="21"/>
    </row>
    <row r="496" spans="1:22" s="2" customFormat="1" ht="30" customHeight="1" x14ac:dyDescent="0.25">
      <c r="A496" s="625"/>
      <c r="B496" s="314" t="s">
        <v>139</v>
      </c>
      <c r="C496" s="320" t="s">
        <v>304</v>
      </c>
      <c r="D496" s="434">
        <f t="shared" ref="D496:D502" si="104">D495+1</f>
        <v>400</v>
      </c>
      <c r="E496" s="455" t="s">
        <v>638</v>
      </c>
      <c r="F496" s="749">
        <v>350</v>
      </c>
      <c r="G496" s="927" t="s">
        <v>623</v>
      </c>
      <c r="H496" s="928" t="s">
        <v>701</v>
      </c>
      <c r="I496" s="947"/>
      <c r="J496" s="198" t="str">
        <f>IF(F496="","Belum Terisi",IF(F496&gt;F124,"CEK",IF(AND(F495="Ada",F496&lt;(0.5*F124)),"CEK",IF(AND(F495="Tidak ada",F496&gt;(0.5*F124)),"CEK",""))))</f>
        <v/>
      </c>
      <c r="K496" s="31" t="str">
        <f>IF(AND(J496="CEK",F495="Tidak Ada",F496&gt;(0.5*F124))," Tidak Tersedia Sebagian BesarTerdapat Jamban Rumah Tangga di Desa (E 104 a)",IF(AND(J496="CEK",F495="Ada",F496&lt;(0.5*F124)),"Ada Sebagian BesarJamban Rumah Tangga di Desa (E 104 a)",IF(AND(J496="CEK",F496&gt;F124),"Melebihi Jumlah Rumah di Desa","")))</f>
        <v/>
      </c>
      <c r="L496" s="31"/>
      <c r="M496" s="21" t="s">
        <v>667</v>
      </c>
      <c r="N496" s="21"/>
      <c r="O496" s="21"/>
      <c r="P496" s="21"/>
      <c r="Q496" s="21"/>
      <c r="R496" s="21"/>
      <c r="S496" s="21"/>
      <c r="T496" s="21"/>
      <c r="U496" s="21"/>
      <c r="V496" s="21"/>
    </row>
    <row r="497" spans="1:22" s="2" customFormat="1" ht="30" customHeight="1" x14ac:dyDescent="0.25">
      <c r="A497" s="625"/>
      <c r="B497" s="314" t="s">
        <v>251</v>
      </c>
      <c r="C497" s="320" t="s">
        <v>1877</v>
      </c>
      <c r="D497" s="434">
        <f t="shared" si="104"/>
        <v>401</v>
      </c>
      <c r="E497" s="49">
        <f>IFERROR(IF(AND(F496=0,F124=0),0,(F496/F124)),"Tidak Teridentifikasi")</f>
        <v>0.45395590142671854</v>
      </c>
      <c r="F497" s="750">
        <f>IF(E497=0,1,IF(AND(E497&gt;0,E497&lt;50%),3,IF(AND(E497&gt;=50%,E497&lt;=100%),5,"Tidak Teridentifikasi")))</f>
        <v>3</v>
      </c>
      <c r="G497" s="927" t="s">
        <v>623</v>
      </c>
      <c r="H497" s="925"/>
      <c r="I497" s="947"/>
      <c r="J497" s="198" t="str">
        <f>IF(LEN(F497)&gt;0,"","Belum Terisi")</f>
        <v/>
      </c>
      <c r="K497" s="31"/>
      <c r="L497" s="43"/>
      <c r="M497" s="21" t="s">
        <v>667</v>
      </c>
      <c r="N497" s="21"/>
      <c r="O497" s="21"/>
      <c r="P497" s="21"/>
      <c r="Q497" s="21"/>
      <c r="R497" s="21"/>
      <c r="S497" s="21"/>
      <c r="T497" s="21"/>
      <c r="U497" s="21"/>
      <c r="V497" s="21"/>
    </row>
    <row r="498" spans="1:22" s="2" customFormat="1" ht="30" customHeight="1" x14ac:dyDescent="0.25">
      <c r="A498" s="626"/>
      <c r="B498" s="314" t="s">
        <v>255</v>
      </c>
      <c r="C498" s="320" t="s">
        <v>1878</v>
      </c>
      <c r="D498" s="434">
        <f t="shared" si="104"/>
        <v>402</v>
      </c>
      <c r="E498" s="435" t="s">
        <v>171</v>
      </c>
      <c r="F498" s="707">
        <v>5</v>
      </c>
      <c r="G498" s="927" t="s">
        <v>623</v>
      </c>
      <c r="H498" s="922"/>
      <c r="I498" s="947"/>
      <c r="J498" s="198" t="str">
        <f t="shared" ref="J498" si="105">IF(F498="","Belum Terisi",IF(OR(F498=1,F498=5),"","CEK"))</f>
        <v/>
      </c>
      <c r="K498" s="31" t="str">
        <f t="shared" ref="K498" si="106">IF(J498="CEK","Inputan Tidak Sesuai","")</f>
        <v/>
      </c>
      <c r="L498" s="43"/>
      <c r="M498" s="21" t="s">
        <v>667</v>
      </c>
      <c r="N498" s="21"/>
      <c r="O498" s="21"/>
      <c r="P498" s="21"/>
      <c r="Q498" s="21"/>
      <c r="R498" s="21"/>
      <c r="S498" s="21"/>
      <c r="T498" s="21"/>
      <c r="U498" s="21"/>
      <c r="V498" s="21"/>
    </row>
    <row r="499" spans="1:22" s="2" customFormat="1" ht="30" customHeight="1" x14ac:dyDescent="0.25">
      <c r="A499" s="624" t="str">
        <f>"E "&amp;(RIGHT(A495,3)+1)</f>
        <v>E 105</v>
      </c>
      <c r="B499" s="314" t="s">
        <v>41</v>
      </c>
      <c r="C499" s="320" t="s">
        <v>305</v>
      </c>
      <c r="D499" s="434">
        <f t="shared" si="104"/>
        <v>403</v>
      </c>
      <c r="E499" s="435" t="s">
        <v>171</v>
      </c>
      <c r="F499" s="705" t="s">
        <v>285</v>
      </c>
      <c r="G499" s="924"/>
      <c r="H499" s="922"/>
      <c r="I499" s="947"/>
      <c r="J499" s="198" t="str">
        <f>IF(LEN(F499)&gt;0,"","Belum Terisi")</f>
        <v/>
      </c>
      <c r="K499" s="31"/>
      <c r="L499" s="43"/>
      <c r="M499" s="21" t="s">
        <v>667</v>
      </c>
      <c r="N499" s="21"/>
      <c r="O499" s="21"/>
      <c r="P499" s="21"/>
      <c r="Q499" s="21"/>
      <c r="R499" s="21"/>
      <c r="S499" s="21"/>
      <c r="T499" s="21"/>
      <c r="U499" s="21"/>
      <c r="V499" s="21"/>
    </row>
    <row r="500" spans="1:22" s="2" customFormat="1" ht="30" customHeight="1" x14ac:dyDescent="0.25">
      <c r="A500" s="625"/>
      <c r="B500" s="314" t="s">
        <v>139</v>
      </c>
      <c r="C500" s="320" t="s">
        <v>1879</v>
      </c>
      <c r="D500" s="434">
        <f t="shared" si="104"/>
        <v>404</v>
      </c>
      <c r="E500" s="435" t="s">
        <v>171</v>
      </c>
      <c r="F500" s="706">
        <v>5</v>
      </c>
      <c r="G500" s="927" t="s">
        <v>623</v>
      </c>
      <c r="H500" s="922"/>
      <c r="I500" s="947"/>
      <c r="J500" s="198" t="str">
        <f>IF(F500="","Belum Terisi",IF(OR(F500=1,F500=3,F500=5),"","CEK"))</f>
        <v/>
      </c>
      <c r="K500" s="31" t="str">
        <f t="shared" ref="K500" si="107">IF(J500="CEK","Inputan Tidak Sesuai","")</f>
        <v/>
      </c>
      <c r="L500" s="31"/>
      <c r="M500" s="21" t="s">
        <v>667</v>
      </c>
      <c r="N500" s="21"/>
      <c r="O500" s="21"/>
      <c r="P500" s="21"/>
      <c r="Q500" s="21"/>
      <c r="R500" s="21"/>
      <c r="S500" s="21"/>
      <c r="T500" s="21"/>
      <c r="U500" s="21"/>
      <c r="V500" s="21"/>
    </row>
    <row r="501" spans="1:22" s="2" customFormat="1" ht="30" customHeight="1" x14ac:dyDescent="0.25">
      <c r="A501" s="626"/>
      <c r="B501" s="314" t="s">
        <v>251</v>
      </c>
      <c r="C501" s="320" t="s">
        <v>1880</v>
      </c>
      <c r="D501" s="434">
        <f t="shared" si="104"/>
        <v>405</v>
      </c>
      <c r="E501" s="435" t="s">
        <v>171</v>
      </c>
      <c r="F501" s="707">
        <v>5</v>
      </c>
      <c r="G501" s="927" t="s">
        <v>623</v>
      </c>
      <c r="H501" s="922"/>
      <c r="I501" s="947"/>
      <c r="J501" s="198" t="str">
        <f>IF(F501="","Belum Terisi",IF(AND(F500=1,F501&lt;&gt;1),"CEK",IF(OR(F501=1,F501=5),"","CEK")))</f>
        <v/>
      </c>
      <c r="K501" s="31" t="str">
        <f>IF(J501="CEK","Tidak Tersedia Septictank","")</f>
        <v/>
      </c>
      <c r="L501" s="43"/>
      <c r="M501" s="21" t="s">
        <v>667</v>
      </c>
      <c r="N501" s="21"/>
      <c r="O501" s="21"/>
      <c r="P501" s="21"/>
      <c r="Q501" s="21"/>
      <c r="R501" s="21"/>
      <c r="S501" s="21"/>
      <c r="T501" s="21"/>
      <c r="U501" s="21"/>
      <c r="V501" s="21"/>
    </row>
    <row r="502" spans="1:22" s="2" customFormat="1" ht="30" customHeight="1" x14ac:dyDescent="0.25">
      <c r="A502" s="630" t="str">
        <f>"E "&amp;(RIGHT(A499,3)+1)</f>
        <v>E 106</v>
      </c>
      <c r="B502" s="321"/>
      <c r="C502" s="320" t="s">
        <v>306</v>
      </c>
      <c r="D502" s="434">
        <f t="shared" si="104"/>
        <v>406</v>
      </c>
      <c r="E502" s="435" t="s">
        <v>171</v>
      </c>
      <c r="F502" s="686">
        <v>5</v>
      </c>
      <c r="G502" s="927" t="s">
        <v>623</v>
      </c>
      <c r="H502" s="922"/>
      <c r="I502" s="947"/>
      <c r="J502" s="198" t="str">
        <f t="shared" ref="J502" si="108">IF(F502="","Belum Terisi",IF(OR(F502=1,F502=5),"","CEK"))</f>
        <v/>
      </c>
      <c r="K502" s="31" t="str">
        <f t="shared" ref="K502" si="109">IF(J502="CEK","Inputan Tidak Sesuai","")</f>
        <v/>
      </c>
      <c r="L502" s="43"/>
      <c r="M502" s="21" t="s">
        <v>667</v>
      </c>
      <c r="N502" s="21"/>
      <c r="O502" s="21"/>
      <c r="P502" s="21"/>
      <c r="Q502" s="21"/>
      <c r="R502" s="21"/>
      <c r="S502" s="21"/>
      <c r="T502" s="21"/>
      <c r="U502" s="21"/>
      <c r="V502" s="21"/>
    </row>
    <row r="503" spans="1:22" s="2" customFormat="1" ht="30" customHeight="1" x14ac:dyDescent="0.25">
      <c r="A503" s="622" t="s">
        <v>1403</v>
      </c>
      <c r="B503" s="310" t="s">
        <v>416</v>
      </c>
      <c r="C503" s="311"/>
      <c r="D503" s="499"/>
      <c r="E503" s="431"/>
      <c r="F503" s="701"/>
      <c r="G503" s="941"/>
      <c r="H503" s="928"/>
      <c r="I503" s="923"/>
      <c r="J503" s="98"/>
      <c r="K503" s="31"/>
      <c r="L503" s="43"/>
      <c r="M503" s="21" t="s">
        <v>667</v>
      </c>
      <c r="N503" s="21"/>
      <c r="O503" s="21"/>
      <c r="P503" s="21"/>
      <c r="Q503" s="21"/>
      <c r="R503" s="21"/>
      <c r="S503" s="21"/>
      <c r="T503" s="21"/>
      <c r="U503" s="21"/>
      <c r="V503" s="21"/>
    </row>
    <row r="504" spans="1:22" s="2" customFormat="1" ht="30" customHeight="1" x14ac:dyDescent="0.25">
      <c r="A504" s="623" t="s">
        <v>417</v>
      </c>
      <c r="B504" s="322"/>
      <c r="C504" s="311"/>
      <c r="D504" s="499"/>
      <c r="E504" s="432"/>
      <c r="F504" s="702"/>
      <c r="G504" s="941"/>
      <c r="H504" s="928"/>
      <c r="I504" s="923"/>
      <c r="J504" s="98"/>
      <c r="K504" s="31"/>
      <c r="L504" s="43"/>
      <c r="M504" s="21" t="s">
        <v>667</v>
      </c>
      <c r="N504" s="21"/>
      <c r="O504" s="21"/>
      <c r="P504" s="21"/>
      <c r="Q504" s="21"/>
      <c r="R504" s="21"/>
      <c r="S504" s="21"/>
      <c r="T504" s="21"/>
      <c r="U504" s="21"/>
      <c r="V504" s="21"/>
    </row>
    <row r="505" spans="1:22" s="2" customFormat="1" ht="30" customHeight="1" x14ac:dyDescent="0.25">
      <c r="A505" s="631" t="s">
        <v>1404</v>
      </c>
      <c r="B505" s="323"/>
      <c r="C505" s="320" t="s">
        <v>875</v>
      </c>
      <c r="D505" s="499"/>
      <c r="E505" s="432"/>
      <c r="F505" s="702"/>
      <c r="G505" s="941"/>
      <c r="H505" s="928" t="str">
        <f>IF(COUNTIF($F$506:$F$514,"Tidak ada")=9,"Tidak Ada","")</f>
        <v/>
      </c>
      <c r="I505" s="923"/>
      <c r="J505" s="98"/>
      <c r="K505" s="31"/>
      <c r="L505" s="43"/>
      <c r="M505" s="21" t="s">
        <v>667</v>
      </c>
      <c r="N505" s="847" t="s">
        <v>668</v>
      </c>
      <c r="O505" s="21"/>
      <c r="P505" s="21"/>
      <c r="Q505" s="21"/>
      <c r="R505" s="21"/>
      <c r="S505" s="21"/>
      <c r="T505" s="21"/>
      <c r="U505" s="21"/>
      <c r="V505" s="21"/>
    </row>
    <row r="506" spans="1:22" s="2" customFormat="1" ht="30" customHeight="1" x14ac:dyDescent="0.25">
      <c r="A506" s="629"/>
      <c r="B506" s="314" t="s">
        <v>41</v>
      </c>
      <c r="C506" s="320" t="s">
        <v>1405</v>
      </c>
      <c r="D506" s="434">
        <f>D502+1</f>
        <v>407</v>
      </c>
      <c r="E506" s="435" t="s">
        <v>171</v>
      </c>
      <c r="F506" s="705" t="s">
        <v>285</v>
      </c>
      <c r="G506" s="941"/>
      <c r="H506" s="928" t="str">
        <f>IF(F506="ada","TANAH LONGSOR","")</f>
        <v>TANAH LONGSOR</v>
      </c>
      <c r="I506" s="923"/>
      <c r="J506" s="198" t="str">
        <f t="shared" ref="J506:J519" si="110">IF(LEN(F506)&gt;0,"","Belum Terisi")</f>
        <v/>
      </c>
      <c r="K506" s="31"/>
      <c r="L506" s="43"/>
      <c r="M506" s="21" t="s">
        <v>667</v>
      </c>
      <c r="N506" s="21" t="s">
        <v>668</v>
      </c>
      <c r="O506" s="21"/>
      <c r="P506" s="21"/>
      <c r="Q506" s="21"/>
      <c r="R506" s="21"/>
      <c r="S506" s="21"/>
      <c r="T506" s="21"/>
      <c r="U506" s="21"/>
      <c r="V506" s="21"/>
    </row>
    <row r="507" spans="1:22" s="2" customFormat="1" ht="30" customHeight="1" x14ac:dyDescent="0.25">
      <c r="A507" s="629"/>
      <c r="B507" s="314" t="s">
        <v>139</v>
      </c>
      <c r="C507" s="320" t="s">
        <v>1406</v>
      </c>
      <c r="D507" s="434">
        <f t="shared" ref="D507:D525" si="111">D506+1</f>
        <v>408</v>
      </c>
      <c r="E507" s="435" t="s">
        <v>171</v>
      </c>
      <c r="F507" s="706" t="s">
        <v>263</v>
      </c>
      <c r="G507" s="927"/>
      <c r="H507" s="928" t="str">
        <f>IF(F507="ada","BANJIR","")</f>
        <v/>
      </c>
      <c r="I507" s="923"/>
      <c r="J507" s="198" t="str">
        <f t="shared" si="110"/>
        <v/>
      </c>
      <c r="K507" s="31"/>
      <c r="L507" s="43"/>
      <c r="M507" s="21" t="s">
        <v>667</v>
      </c>
      <c r="N507" s="21" t="s">
        <v>668</v>
      </c>
      <c r="O507" s="21"/>
      <c r="P507" s="21"/>
      <c r="Q507" s="21"/>
      <c r="R507" s="21"/>
      <c r="S507" s="21"/>
      <c r="T507" s="21"/>
      <c r="U507" s="21"/>
      <c r="V507" s="21"/>
    </row>
    <row r="508" spans="1:22" s="2" customFormat="1" ht="30" customHeight="1" x14ac:dyDescent="0.25">
      <c r="A508" s="629"/>
      <c r="B508" s="314" t="s">
        <v>251</v>
      </c>
      <c r="C508" s="320" t="s">
        <v>1407</v>
      </c>
      <c r="D508" s="434">
        <f t="shared" si="111"/>
        <v>409</v>
      </c>
      <c r="E508" s="435" t="s">
        <v>171</v>
      </c>
      <c r="F508" s="706" t="s">
        <v>263</v>
      </c>
      <c r="G508" s="927"/>
      <c r="H508" s="928" t="str">
        <f>IF(F508="ada","GEMPA BUMI","")</f>
        <v/>
      </c>
      <c r="I508" s="923"/>
      <c r="J508" s="198" t="str">
        <f t="shared" si="110"/>
        <v/>
      </c>
      <c r="K508" s="31"/>
      <c r="L508" s="43"/>
      <c r="M508" s="21" t="s">
        <v>667</v>
      </c>
      <c r="N508" s="21" t="s">
        <v>668</v>
      </c>
      <c r="O508" s="21"/>
      <c r="P508" s="21"/>
      <c r="Q508" s="21"/>
      <c r="R508" s="21"/>
      <c r="S508" s="21"/>
      <c r="T508" s="21"/>
      <c r="U508" s="21"/>
      <c r="V508" s="21"/>
    </row>
    <row r="509" spans="1:22" s="2" customFormat="1" ht="30" customHeight="1" x14ac:dyDescent="0.25">
      <c r="A509" s="629"/>
      <c r="B509" s="314" t="s">
        <v>255</v>
      </c>
      <c r="C509" s="320" t="s">
        <v>1408</v>
      </c>
      <c r="D509" s="434">
        <f t="shared" si="111"/>
        <v>410</v>
      </c>
      <c r="E509" s="435" t="s">
        <v>171</v>
      </c>
      <c r="F509" s="706" t="s">
        <v>263</v>
      </c>
      <c r="G509" s="927"/>
      <c r="H509" s="928" t="str">
        <f>IF(F509="ada","TSUNAMI","")</f>
        <v/>
      </c>
      <c r="I509" s="923"/>
      <c r="J509" s="198" t="str">
        <f t="shared" si="110"/>
        <v/>
      </c>
      <c r="K509" s="31"/>
      <c r="L509" s="43"/>
      <c r="M509" s="21" t="s">
        <v>667</v>
      </c>
      <c r="N509" s="21" t="s">
        <v>668</v>
      </c>
      <c r="O509" s="21"/>
      <c r="P509" s="21"/>
      <c r="Q509" s="21"/>
      <c r="R509" s="21"/>
      <c r="S509" s="21"/>
      <c r="T509" s="21"/>
      <c r="U509" s="21"/>
      <c r="V509" s="21"/>
    </row>
    <row r="510" spans="1:22" s="2" customFormat="1" ht="30" customHeight="1" x14ac:dyDescent="0.25">
      <c r="A510" s="629"/>
      <c r="B510" s="314" t="s">
        <v>252</v>
      </c>
      <c r="C510" s="320" t="s">
        <v>1409</v>
      </c>
      <c r="D510" s="434">
        <f t="shared" si="111"/>
        <v>411</v>
      </c>
      <c r="E510" s="435" t="s">
        <v>171</v>
      </c>
      <c r="F510" s="706" t="s">
        <v>263</v>
      </c>
      <c r="G510" s="927"/>
      <c r="H510" s="928" t="str">
        <f>IF(F510="ada","GELOMBANG PASANG LAUT","")</f>
        <v/>
      </c>
      <c r="I510" s="923"/>
      <c r="J510" s="198" t="str">
        <f t="shared" si="110"/>
        <v/>
      </c>
      <c r="K510" s="31"/>
      <c r="L510" s="31"/>
      <c r="M510" s="21" t="s">
        <v>667</v>
      </c>
      <c r="N510" s="21" t="s">
        <v>668</v>
      </c>
      <c r="O510" s="21"/>
      <c r="P510" s="21"/>
      <c r="Q510" s="21"/>
      <c r="R510" s="21"/>
      <c r="S510" s="21"/>
      <c r="T510" s="21"/>
      <c r="U510" s="21"/>
      <c r="V510" s="21"/>
    </row>
    <row r="511" spans="1:22" s="2" customFormat="1" ht="30" customHeight="1" x14ac:dyDescent="0.25">
      <c r="A511" s="629"/>
      <c r="B511" s="314" t="s">
        <v>253</v>
      </c>
      <c r="C511" s="320" t="s">
        <v>1410</v>
      </c>
      <c r="D511" s="434">
        <f t="shared" si="111"/>
        <v>412</v>
      </c>
      <c r="E511" s="435" t="s">
        <v>171</v>
      </c>
      <c r="F511" s="706" t="s">
        <v>263</v>
      </c>
      <c r="G511" s="927"/>
      <c r="H511" s="928" t="str">
        <f>IF(F511="ada","ANGIN PUYUH/ PUTING BELIUNG/ TOPAN","")</f>
        <v/>
      </c>
      <c r="I511" s="923"/>
      <c r="J511" s="198" t="str">
        <f t="shared" si="110"/>
        <v/>
      </c>
      <c r="K511" s="31"/>
      <c r="L511" s="43"/>
      <c r="M511" s="21" t="s">
        <v>667</v>
      </c>
      <c r="N511" s="21" t="s">
        <v>668</v>
      </c>
      <c r="O511" s="21"/>
      <c r="P511" s="21"/>
      <c r="Q511" s="21"/>
      <c r="R511" s="21"/>
      <c r="S511" s="21"/>
      <c r="T511" s="21"/>
      <c r="U511" s="21"/>
      <c r="V511" s="21"/>
    </row>
    <row r="512" spans="1:22" s="2" customFormat="1" ht="30" customHeight="1" x14ac:dyDescent="0.25">
      <c r="A512" s="629"/>
      <c r="B512" s="314" t="s">
        <v>254</v>
      </c>
      <c r="C512" s="320" t="s">
        <v>1411</v>
      </c>
      <c r="D512" s="434">
        <f t="shared" si="111"/>
        <v>413</v>
      </c>
      <c r="E512" s="435" t="s">
        <v>171</v>
      </c>
      <c r="F512" s="706" t="s">
        <v>263</v>
      </c>
      <c r="G512" s="927"/>
      <c r="H512" s="928" t="str">
        <f>IF(F512="ada","GUNUNG MELETUS","")</f>
        <v/>
      </c>
      <c r="I512" s="923"/>
      <c r="J512" s="198" t="str">
        <f t="shared" si="110"/>
        <v/>
      </c>
      <c r="K512" s="31"/>
      <c r="L512" s="43"/>
      <c r="M512" s="21" t="s">
        <v>667</v>
      </c>
      <c r="N512" s="21" t="s">
        <v>668</v>
      </c>
      <c r="O512" s="21"/>
      <c r="P512" s="21"/>
      <c r="Q512" s="21"/>
      <c r="R512" s="21"/>
      <c r="S512" s="21"/>
      <c r="T512" s="21"/>
      <c r="U512" s="21"/>
      <c r="V512" s="21"/>
    </row>
    <row r="513" spans="1:22" s="2" customFormat="1" ht="30" customHeight="1" x14ac:dyDescent="0.25">
      <c r="A513" s="629"/>
      <c r="B513" s="314" t="s">
        <v>256</v>
      </c>
      <c r="C513" s="320" t="s">
        <v>1412</v>
      </c>
      <c r="D513" s="434">
        <f t="shared" si="111"/>
        <v>414</v>
      </c>
      <c r="E513" s="435" t="s">
        <v>171</v>
      </c>
      <c r="F513" s="706" t="s">
        <v>263</v>
      </c>
      <c r="G513" s="927"/>
      <c r="H513" s="928" t="str">
        <f>IF(F513="ada","KEBAKARAN HUTAN","")</f>
        <v/>
      </c>
      <c r="I513" s="923"/>
      <c r="J513" s="198" t="str">
        <f t="shared" si="110"/>
        <v/>
      </c>
      <c r="K513" s="31"/>
      <c r="L513" s="43"/>
      <c r="M513" s="21" t="s">
        <v>667</v>
      </c>
      <c r="N513" s="21" t="s">
        <v>668</v>
      </c>
      <c r="O513" s="21"/>
      <c r="P513" s="21"/>
      <c r="Q513" s="21"/>
      <c r="R513" s="21"/>
      <c r="S513" s="21"/>
      <c r="T513" s="21"/>
      <c r="U513" s="21"/>
      <c r="V513" s="21"/>
    </row>
    <row r="514" spans="1:22" s="2" customFormat="1" ht="30" customHeight="1" x14ac:dyDescent="0.25">
      <c r="A514" s="629"/>
      <c r="B514" s="314" t="s">
        <v>257</v>
      </c>
      <c r="C514" s="320" t="s">
        <v>1413</v>
      </c>
      <c r="D514" s="434">
        <f t="shared" si="111"/>
        <v>415</v>
      </c>
      <c r="E514" s="435" t="s">
        <v>171</v>
      </c>
      <c r="F514" s="706" t="s">
        <v>263</v>
      </c>
      <c r="G514" s="927"/>
      <c r="H514" s="928" t="str">
        <f>IF(F514="ada","KEKERINGAN LAHAN","")</f>
        <v/>
      </c>
      <c r="I514" s="923"/>
      <c r="J514" s="198" t="str">
        <f t="shared" si="110"/>
        <v/>
      </c>
      <c r="K514" s="31"/>
      <c r="L514" s="31"/>
      <c r="M514" s="21" t="s">
        <v>667</v>
      </c>
      <c r="N514" s="21" t="s">
        <v>668</v>
      </c>
      <c r="O514" s="21"/>
      <c r="P514" s="21"/>
      <c r="Q514" s="21"/>
      <c r="R514" s="21"/>
      <c r="S514" s="21"/>
      <c r="T514" s="21"/>
      <c r="U514" s="21"/>
      <c r="V514" s="21"/>
    </row>
    <row r="515" spans="1:22" s="2" customFormat="1" ht="30" customHeight="1" x14ac:dyDescent="0.25">
      <c r="A515" s="628"/>
      <c r="B515" s="314" t="s">
        <v>259</v>
      </c>
      <c r="C515" s="320" t="s">
        <v>1414</v>
      </c>
      <c r="D515" s="434">
        <f t="shared" si="111"/>
        <v>416</v>
      </c>
      <c r="E515" s="435" t="s">
        <v>171</v>
      </c>
      <c r="F515" s="707" t="s">
        <v>263</v>
      </c>
      <c r="G515" s="927"/>
      <c r="H515" s="948"/>
      <c r="I515" s="923"/>
      <c r="J515" s="198" t="str">
        <f t="shared" si="110"/>
        <v/>
      </c>
      <c r="K515" s="31"/>
      <c r="L515" s="43"/>
      <c r="M515" s="21" t="s">
        <v>667</v>
      </c>
      <c r="N515" s="21" t="s">
        <v>668</v>
      </c>
      <c r="O515" s="21"/>
      <c r="P515" s="21"/>
      <c r="Q515" s="21"/>
      <c r="R515" s="21"/>
      <c r="S515" s="21"/>
      <c r="T515" s="21"/>
      <c r="U515" s="21"/>
      <c r="V515" s="21"/>
    </row>
    <row r="516" spans="1:22" s="2" customFormat="1" ht="30" customHeight="1" x14ac:dyDescent="0.25">
      <c r="A516" s="624" t="str">
        <f>"E "&amp;(RIGHT(A505,3)+1)</f>
        <v>E 202</v>
      </c>
      <c r="B516" s="314" t="s">
        <v>41</v>
      </c>
      <c r="C516" s="320" t="s">
        <v>418</v>
      </c>
      <c r="D516" s="434">
        <f t="shared" si="111"/>
        <v>417</v>
      </c>
      <c r="E516" s="435" t="s">
        <v>171</v>
      </c>
      <c r="F516" s="705">
        <v>5</v>
      </c>
      <c r="G516" s="927" t="s">
        <v>624</v>
      </c>
      <c r="H516" s="925"/>
      <c r="I516" s="923"/>
      <c r="J516" s="198" t="str">
        <f t="shared" ref="J516" si="112">IF(F516="","Belum Terisi",IF(OR(F516=1,F516=5),"","CEK"))</f>
        <v/>
      </c>
      <c r="K516" s="31" t="str">
        <f t="shared" ref="K516" si="113">IF(J516="CEK","Inputan Tidak Sesuai","")</f>
        <v/>
      </c>
      <c r="L516" s="43"/>
      <c r="M516" s="21" t="s">
        <v>667</v>
      </c>
      <c r="N516" s="21" t="s">
        <v>668</v>
      </c>
      <c r="O516" s="21"/>
      <c r="P516" s="21"/>
      <c r="Q516" s="21"/>
      <c r="R516" s="21"/>
      <c r="S516" s="21"/>
      <c r="T516" s="21"/>
      <c r="U516" s="21"/>
      <c r="V516" s="21"/>
    </row>
    <row r="517" spans="1:22" s="2" customFormat="1" ht="30" customHeight="1" x14ac:dyDescent="0.25">
      <c r="A517" s="625"/>
      <c r="B517" s="314" t="s">
        <v>139</v>
      </c>
      <c r="C517" s="320" t="s">
        <v>1415</v>
      </c>
      <c r="D517" s="434">
        <f t="shared" si="111"/>
        <v>418</v>
      </c>
      <c r="E517" s="427" t="s">
        <v>171</v>
      </c>
      <c r="F517" s="694" t="s">
        <v>285</v>
      </c>
      <c r="G517" s="924"/>
      <c r="H517" s="925"/>
      <c r="I517" s="923"/>
      <c r="J517" s="198" t="str">
        <f t="shared" si="110"/>
        <v/>
      </c>
      <c r="K517" s="31"/>
      <c r="L517" s="43"/>
      <c r="M517" s="847" t="s">
        <v>667</v>
      </c>
      <c r="N517" s="847" t="s">
        <v>668</v>
      </c>
      <c r="O517" s="21"/>
      <c r="P517" s="21"/>
      <c r="Q517" s="21"/>
      <c r="R517" s="21"/>
      <c r="S517" s="21"/>
      <c r="T517" s="21"/>
      <c r="U517" s="21"/>
      <c r="V517" s="21"/>
    </row>
    <row r="518" spans="1:22" s="2" customFormat="1" ht="30" customHeight="1" x14ac:dyDescent="0.25">
      <c r="A518" s="625"/>
      <c r="B518" s="314" t="s">
        <v>251</v>
      </c>
      <c r="C518" s="320" t="s">
        <v>1416</v>
      </c>
      <c r="D518" s="434">
        <f t="shared" si="111"/>
        <v>419</v>
      </c>
      <c r="E518" s="427" t="s">
        <v>171</v>
      </c>
      <c r="F518" s="694" t="s">
        <v>285</v>
      </c>
      <c r="G518" s="924"/>
      <c r="H518" s="925"/>
      <c r="I518" s="923"/>
      <c r="J518" s="198" t="str">
        <f t="shared" si="110"/>
        <v/>
      </c>
      <c r="K518" s="31"/>
      <c r="L518" s="31"/>
      <c r="M518" s="847" t="s">
        <v>667</v>
      </c>
      <c r="N518" s="847" t="s">
        <v>668</v>
      </c>
      <c r="O518" s="21"/>
      <c r="P518" s="21"/>
      <c r="Q518" s="21"/>
      <c r="R518" s="21"/>
      <c r="S518" s="21"/>
      <c r="T518" s="21"/>
      <c r="U518" s="21"/>
      <c r="V518" s="21"/>
    </row>
    <row r="519" spans="1:22" s="2" customFormat="1" ht="30" customHeight="1" x14ac:dyDescent="0.25">
      <c r="A519" s="625"/>
      <c r="B519" s="314" t="s">
        <v>255</v>
      </c>
      <c r="C519" s="320" t="s">
        <v>419</v>
      </c>
      <c r="D519" s="434">
        <f t="shared" si="111"/>
        <v>420</v>
      </c>
      <c r="E519" s="53" t="s">
        <v>250</v>
      </c>
      <c r="F519" s="813">
        <f>IF(OR(F517="ada",F518="ada",'ISU DESA dan PERDESAAN'!F1304="ada"),5,1)</f>
        <v>5</v>
      </c>
      <c r="G519" s="927" t="s">
        <v>624</v>
      </c>
      <c r="H519" s="925"/>
      <c r="I519" s="923"/>
      <c r="J519" s="198" t="str">
        <f t="shared" si="110"/>
        <v/>
      </c>
      <c r="K519" s="31"/>
      <c r="L519" s="31"/>
      <c r="M519" s="21" t="s">
        <v>667</v>
      </c>
      <c r="N519" s="847" t="s">
        <v>668</v>
      </c>
      <c r="O519" s="21"/>
      <c r="P519" s="21"/>
      <c r="Q519" s="21"/>
      <c r="R519" s="21"/>
      <c r="S519" s="21"/>
      <c r="T519" s="21"/>
      <c r="U519" s="21"/>
      <c r="V519" s="21"/>
    </row>
    <row r="520" spans="1:22" s="2" customFormat="1" ht="30" customHeight="1" x14ac:dyDescent="0.25">
      <c r="A520" s="625"/>
      <c r="B520" s="314" t="s">
        <v>252</v>
      </c>
      <c r="C520" s="320" t="s">
        <v>421</v>
      </c>
      <c r="D520" s="434">
        <f t="shared" si="111"/>
        <v>421</v>
      </c>
      <c r="E520" s="455" t="s">
        <v>171</v>
      </c>
      <c r="F520" s="749">
        <v>3</v>
      </c>
      <c r="G520" s="927" t="s">
        <v>624</v>
      </c>
      <c r="H520" s="931" t="s">
        <v>543</v>
      </c>
      <c r="I520" s="923"/>
      <c r="J520" s="198" t="str">
        <f>IF(F520="","Belum Terisi",IF(OR(F520=1,F520=2,F520=3),"","CEK"))</f>
        <v/>
      </c>
      <c r="K520" s="31" t="str">
        <f t="shared" ref="K520:K525" si="114">IF(J520="CEK","Inputan Tidak Sesuai","")</f>
        <v/>
      </c>
      <c r="L520" s="43"/>
      <c r="M520" s="21" t="s">
        <v>667</v>
      </c>
      <c r="N520" s="847" t="s">
        <v>668</v>
      </c>
      <c r="O520" s="21"/>
      <c r="P520" s="21"/>
      <c r="Q520" s="21"/>
      <c r="R520" s="21"/>
      <c r="S520" s="21"/>
      <c r="T520" s="21"/>
      <c r="U520" s="21"/>
      <c r="V520" s="21"/>
    </row>
    <row r="521" spans="1:22" s="2" customFormat="1" ht="30" customHeight="1" x14ac:dyDescent="0.25">
      <c r="A521" s="625"/>
      <c r="B521" s="314" t="s">
        <v>253</v>
      </c>
      <c r="C521" s="320" t="s">
        <v>420</v>
      </c>
      <c r="D521" s="434">
        <f t="shared" si="111"/>
        <v>422</v>
      </c>
      <c r="E521" s="455" t="s">
        <v>171</v>
      </c>
      <c r="F521" s="706">
        <v>3</v>
      </c>
      <c r="G521" s="927" t="s">
        <v>624</v>
      </c>
      <c r="H521" s="931" t="s">
        <v>271</v>
      </c>
      <c r="I521" s="923"/>
      <c r="J521" s="198" t="str">
        <f>IF(F521="","Belum Terisi",IF(OR(F521=1,F521=2,F521=3),"","CEK"))</f>
        <v/>
      </c>
      <c r="K521" s="31" t="str">
        <f t="shared" si="114"/>
        <v/>
      </c>
      <c r="L521" s="43"/>
      <c r="M521" s="21" t="s">
        <v>667</v>
      </c>
      <c r="N521" s="847" t="s">
        <v>668</v>
      </c>
      <c r="O521" s="21"/>
      <c r="P521" s="21"/>
      <c r="Q521" s="21"/>
      <c r="R521" s="21"/>
      <c r="S521" s="21"/>
      <c r="T521" s="21"/>
      <c r="U521" s="21"/>
      <c r="V521" s="21"/>
    </row>
    <row r="522" spans="1:22" s="2" customFormat="1" ht="30" customHeight="1" x14ac:dyDescent="0.25">
      <c r="A522" s="625"/>
      <c r="B522" s="314" t="s">
        <v>254</v>
      </c>
      <c r="C522" s="320" t="s">
        <v>422</v>
      </c>
      <c r="D522" s="434">
        <f t="shared" si="111"/>
        <v>423</v>
      </c>
      <c r="E522" s="455" t="s">
        <v>171</v>
      </c>
      <c r="F522" s="706">
        <v>2</v>
      </c>
      <c r="G522" s="927" t="s">
        <v>624</v>
      </c>
      <c r="H522" s="942"/>
      <c r="I522" s="923"/>
      <c r="J522" s="198" t="str">
        <f>IF(F522="","Belum Terisi",IF(OR(F522=1,F522=2),"","CEK"))</f>
        <v/>
      </c>
      <c r="K522" s="31" t="str">
        <f t="shared" si="114"/>
        <v/>
      </c>
      <c r="L522" s="43"/>
      <c r="M522" s="21" t="s">
        <v>667</v>
      </c>
      <c r="N522" s="847" t="s">
        <v>668</v>
      </c>
      <c r="O522" s="21"/>
      <c r="P522" s="21"/>
      <c r="Q522" s="21"/>
      <c r="R522" s="21"/>
      <c r="S522" s="21"/>
      <c r="T522" s="21"/>
      <c r="U522" s="21"/>
      <c r="V522" s="21"/>
    </row>
    <row r="523" spans="1:22" s="2" customFormat="1" ht="30" customHeight="1" x14ac:dyDescent="0.25">
      <c r="A523" s="625"/>
      <c r="B523" s="314" t="s">
        <v>256</v>
      </c>
      <c r="C523" s="320" t="s">
        <v>423</v>
      </c>
      <c r="D523" s="434">
        <f t="shared" si="111"/>
        <v>424</v>
      </c>
      <c r="E523" s="53" t="s">
        <v>171</v>
      </c>
      <c r="F523" s="808">
        <f>IF(AND(F520=1,F521=1,F522=1),5,
IF(AND(F520=1,F521=1,F522=2),5,
IF(AND(F520=1,F521=2,F522=1),5,
IF(AND(F520=1,F521=2,F522=2),4,
IF(AND(F520=1,F521=3,F522=1),5,
IF(AND(F520=1,F521=3,F522=2),3,
IF(AND(F520=2,F521=1,F522=1),4,
IF(AND(F520=2,F521=1,F522=2),4,
IF(AND(F520=2,F521=2,F522=1),3,
IF(AND(F520=2,F521=2,F522=2),2,
IF(AND(F520=2,F521=3,F522=1),3,
IF(AND(F520=2,F521=3,F522=2),2,
IF(AND(F520=3,F521=1,F522=1),4,
IF(AND(F520=3,F521=1,F522=2),2,
IF(AND(F520=3,F521=2,F522=1),2,
IF(AND(F520=3,F521=2,F522=2),1,
IF(AND(F520=3,F521=3,F522=1),1,
IF(AND(F520=3,F521=3,F522=2),1,"Tidak Teridentifikasi"))))))))))))))))))</f>
        <v>1</v>
      </c>
      <c r="G523" s="927" t="s">
        <v>624</v>
      </c>
      <c r="H523" s="942"/>
      <c r="I523" s="923"/>
      <c r="J523" s="198" t="str">
        <f>IF(F523="tidak teridentifikasi","CEK","")</f>
        <v/>
      </c>
      <c r="K523" s="31"/>
      <c r="L523" s="31"/>
      <c r="M523" s="21" t="s">
        <v>667</v>
      </c>
      <c r="N523" s="847" t="s">
        <v>668</v>
      </c>
      <c r="O523" s="21"/>
      <c r="P523" s="21"/>
      <c r="Q523" s="21"/>
      <c r="R523" s="21"/>
      <c r="S523" s="21"/>
      <c r="T523" s="21"/>
      <c r="U523" s="21"/>
      <c r="V523" s="21"/>
    </row>
    <row r="524" spans="1:22" s="2" customFormat="1" ht="30" customHeight="1" x14ac:dyDescent="0.25">
      <c r="A524" s="625"/>
      <c r="B524" s="314" t="s">
        <v>257</v>
      </c>
      <c r="C524" s="320" t="s">
        <v>424</v>
      </c>
      <c r="D524" s="434">
        <f t="shared" si="111"/>
        <v>425</v>
      </c>
      <c r="E524" s="435" t="s">
        <v>171</v>
      </c>
      <c r="F524" s="706">
        <v>5</v>
      </c>
      <c r="G524" s="927" t="s">
        <v>624</v>
      </c>
      <c r="H524" s="928"/>
      <c r="I524" s="923"/>
      <c r="J524" s="198" t="str">
        <f>IF(F524="","Belum Terisi",IF(OR(F524=1,F524=3,F524=5),"","CEK"))</f>
        <v/>
      </c>
      <c r="K524" s="31" t="str">
        <f t="shared" si="114"/>
        <v/>
      </c>
      <c r="L524" s="43"/>
      <c r="M524" s="21" t="s">
        <v>667</v>
      </c>
      <c r="N524" s="847" t="s">
        <v>668</v>
      </c>
      <c r="O524" s="21"/>
      <c r="P524" s="21"/>
      <c r="Q524" s="21"/>
      <c r="R524" s="21"/>
      <c r="S524" s="21"/>
      <c r="T524" s="21"/>
      <c r="U524" s="21"/>
      <c r="V524" s="21"/>
    </row>
    <row r="525" spans="1:22" s="2" customFormat="1" ht="30" customHeight="1" x14ac:dyDescent="0.25">
      <c r="A525" s="626"/>
      <c r="B525" s="314" t="s">
        <v>259</v>
      </c>
      <c r="C525" s="320" t="s">
        <v>425</v>
      </c>
      <c r="D525" s="434">
        <f t="shared" si="111"/>
        <v>426</v>
      </c>
      <c r="E525" s="435" t="s">
        <v>171</v>
      </c>
      <c r="F525" s="707">
        <v>1</v>
      </c>
      <c r="G525" s="927" t="s">
        <v>624</v>
      </c>
      <c r="H525" s="928"/>
      <c r="I525" s="923"/>
      <c r="J525" s="198" t="str">
        <f>IF(F525="","Belum Terisi",IF(OR(F525=1,F525=5),"","CEK"))</f>
        <v/>
      </c>
      <c r="K525" s="31" t="str">
        <f t="shared" si="114"/>
        <v/>
      </c>
      <c r="L525" s="43"/>
      <c r="M525" s="21" t="s">
        <v>667</v>
      </c>
      <c r="N525" s="847" t="s">
        <v>668</v>
      </c>
      <c r="O525" s="21"/>
      <c r="P525" s="21"/>
      <c r="Q525" s="21"/>
      <c r="R525" s="21"/>
      <c r="S525" s="21"/>
      <c r="T525" s="21"/>
      <c r="U525" s="21"/>
      <c r="V525" s="21"/>
    </row>
    <row r="526" spans="1:22" s="2" customFormat="1" ht="30" customHeight="1" x14ac:dyDescent="0.25">
      <c r="A526" s="632" t="s">
        <v>1417</v>
      </c>
      <c r="B526" s="324" t="s">
        <v>426</v>
      </c>
      <c r="C526" s="325"/>
      <c r="D526" s="499"/>
      <c r="E526" s="431"/>
      <c r="F526" s="701"/>
      <c r="G526" s="927"/>
      <c r="H526" s="928"/>
      <c r="I526" s="923"/>
      <c r="J526" s="98"/>
      <c r="K526" s="31"/>
      <c r="L526" s="43"/>
      <c r="M526" s="21" t="s">
        <v>667</v>
      </c>
      <c r="N526" s="21"/>
      <c r="O526" s="21"/>
      <c r="P526" s="21"/>
      <c r="Q526" s="21"/>
      <c r="R526" s="21"/>
      <c r="S526" s="21"/>
      <c r="T526" s="21"/>
      <c r="U526" s="21"/>
      <c r="V526" s="21"/>
    </row>
    <row r="527" spans="1:22" s="2" customFormat="1" ht="30" customHeight="1" x14ac:dyDescent="0.25">
      <c r="A527" s="632" t="s">
        <v>1418</v>
      </c>
      <c r="B527" s="324" t="s">
        <v>428</v>
      </c>
      <c r="C527" s="325"/>
      <c r="D527" s="499"/>
      <c r="E527" s="432"/>
      <c r="F527" s="702"/>
      <c r="G527" s="927"/>
      <c r="H527" s="928"/>
      <c r="I527" s="923"/>
      <c r="J527" s="98"/>
      <c r="K527" s="31"/>
      <c r="L527" s="31"/>
      <c r="M527" s="21" t="s">
        <v>667</v>
      </c>
      <c r="N527" s="21"/>
      <c r="O527" s="21"/>
      <c r="P527" s="21"/>
      <c r="Q527" s="21"/>
      <c r="R527" s="21"/>
      <c r="S527" s="21"/>
      <c r="T527" s="21"/>
      <c r="U527" s="21"/>
      <c r="V527" s="21"/>
    </row>
    <row r="528" spans="1:22" s="2" customFormat="1" ht="30" customHeight="1" x14ac:dyDescent="0.25">
      <c r="A528" s="633" t="s">
        <v>2620</v>
      </c>
      <c r="B528" s="326"/>
      <c r="C528" s="327"/>
      <c r="D528" s="499"/>
      <c r="E528" s="482"/>
      <c r="F528" s="740"/>
      <c r="G528" s="927"/>
      <c r="H528" s="928"/>
      <c r="I528" s="923"/>
      <c r="J528" s="98"/>
      <c r="K528" s="31"/>
      <c r="L528" s="43"/>
      <c r="M528" s="21" t="s">
        <v>667</v>
      </c>
      <c r="N528" s="21"/>
      <c r="O528" s="21"/>
      <c r="P528" s="21"/>
      <c r="Q528" s="21"/>
      <c r="R528" s="21"/>
      <c r="S528" s="21"/>
      <c r="T528" s="21"/>
      <c r="U528" s="21"/>
      <c r="V528" s="21"/>
    </row>
    <row r="529" spans="1:22" s="2" customFormat="1" ht="30" customHeight="1" x14ac:dyDescent="0.25">
      <c r="A529" s="634" t="s">
        <v>1419</v>
      </c>
      <c r="B529" s="326"/>
      <c r="C529" s="328" t="s">
        <v>430</v>
      </c>
      <c r="D529" s="100">
        <f>D525+1</f>
        <v>427</v>
      </c>
      <c r="E529" s="435" t="s">
        <v>171</v>
      </c>
      <c r="F529" s="686">
        <v>5</v>
      </c>
      <c r="G529" s="927" t="s">
        <v>625</v>
      </c>
      <c r="H529" s="934"/>
      <c r="I529" s="923"/>
      <c r="J529" s="198" t="str">
        <f>IF(F529="","Belum Terisi",IF(OR(F529=1,F529=3,F529=5),"","CEK"))</f>
        <v/>
      </c>
      <c r="K529" s="31" t="str">
        <f t="shared" ref="K529" si="115">IF(J529="CEK","Inputan Tidak Sesuai","")</f>
        <v/>
      </c>
      <c r="L529" s="43"/>
      <c r="M529" s="21" t="s">
        <v>667</v>
      </c>
      <c r="N529" s="21"/>
      <c r="O529" s="21"/>
      <c r="P529" s="21"/>
      <c r="Q529" s="21"/>
      <c r="R529" s="21"/>
      <c r="S529" s="21"/>
      <c r="T529" s="21"/>
      <c r="U529" s="21"/>
      <c r="V529" s="21"/>
    </row>
    <row r="530" spans="1:22" s="2" customFormat="1" ht="30" customHeight="1" x14ac:dyDescent="0.25">
      <c r="A530" s="635" t="str">
        <f>"F "&amp;(RIGHT(A529,3)+1)</f>
        <v>F 102</v>
      </c>
      <c r="B530" s="329"/>
      <c r="C530" s="330" t="s">
        <v>878</v>
      </c>
      <c r="D530" s="499"/>
      <c r="E530" s="436"/>
      <c r="F530" s="704"/>
      <c r="G530" s="927"/>
      <c r="H530" s="928"/>
      <c r="I530" s="923"/>
      <c r="J530" s="98"/>
      <c r="K530" s="31"/>
      <c r="L530" s="43"/>
      <c r="M530" s="21" t="s">
        <v>667</v>
      </c>
      <c r="N530" s="21"/>
      <c r="O530" s="21"/>
      <c r="P530" s="21"/>
      <c r="Q530" s="21"/>
      <c r="R530" s="21"/>
      <c r="S530" s="21"/>
      <c r="T530" s="21"/>
      <c r="U530" s="21"/>
      <c r="V530" s="21"/>
    </row>
    <row r="531" spans="1:22" s="2" customFormat="1" ht="30" customHeight="1" x14ac:dyDescent="0.25">
      <c r="A531" s="636"/>
      <c r="B531" s="331" t="s">
        <v>41</v>
      </c>
      <c r="C531" s="330" t="s">
        <v>1420</v>
      </c>
      <c r="D531" s="434">
        <f>D529+1</f>
        <v>428</v>
      </c>
      <c r="E531" s="435" t="s">
        <v>171</v>
      </c>
      <c r="F531" s="705">
        <v>0</v>
      </c>
      <c r="G531" s="927"/>
      <c r="H531" s="928"/>
      <c r="I531" s="923"/>
      <c r="J531" s="198" t="str">
        <f>IF(LEN(F531)&gt;0,"","Belum Terisi")</f>
        <v/>
      </c>
      <c r="K531" s="31"/>
      <c r="L531" s="31"/>
      <c r="M531" s="21" t="s">
        <v>667</v>
      </c>
      <c r="N531" s="21"/>
      <c r="O531" s="21"/>
      <c r="P531" s="21"/>
      <c r="Q531" s="21"/>
      <c r="R531" s="21"/>
      <c r="S531" s="21"/>
      <c r="T531" s="21"/>
      <c r="U531" s="21"/>
      <c r="V531" s="21"/>
    </row>
    <row r="532" spans="1:22" s="2" customFormat="1" ht="30" customHeight="1" x14ac:dyDescent="0.25">
      <c r="A532" s="636"/>
      <c r="B532" s="331" t="s">
        <v>139</v>
      </c>
      <c r="C532" s="330" t="s">
        <v>1421</v>
      </c>
      <c r="D532" s="434">
        <f>D531+1</f>
        <v>429</v>
      </c>
      <c r="E532" s="435" t="s">
        <v>171</v>
      </c>
      <c r="F532" s="706">
        <v>0</v>
      </c>
      <c r="G532" s="927"/>
      <c r="H532" s="928"/>
      <c r="I532" s="923"/>
      <c r="J532" s="198" t="str">
        <f>IF(LEN(F532)&gt;0,"","Belum Terisi")</f>
        <v/>
      </c>
      <c r="K532" s="31"/>
      <c r="L532" s="43"/>
      <c r="M532" s="21" t="s">
        <v>667</v>
      </c>
      <c r="N532" s="21"/>
      <c r="O532" s="21"/>
      <c r="P532" s="21"/>
      <c r="Q532" s="21"/>
      <c r="R532" s="21"/>
      <c r="S532" s="21"/>
      <c r="T532" s="21"/>
      <c r="U532" s="21"/>
      <c r="V532" s="21"/>
    </row>
    <row r="533" spans="1:22" s="2" customFormat="1" ht="30" customHeight="1" x14ac:dyDescent="0.25">
      <c r="A533" s="636"/>
      <c r="B533" s="331" t="s">
        <v>251</v>
      </c>
      <c r="C533" s="330" t="s">
        <v>1422</v>
      </c>
      <c r="D533" s="434">
        <f>D532+1</f>
        <v>430</v>
      </c>
      <c r="E533" s="435" t="s">
        <v>171</v>
      </c>
      <c r="F533" s="706">
        <v>0</v>
      </c>
      <c r="G533" s="927"/>
      <c r="H533" s="928"/>
      <c r="I533" s="923"/>
      <c r="J533" s="198" t="str">
        <f>IF(LEN(F533)&gt;0,"","Belum Terisi")</f>
        <v/>
      </c>
      <c r="K533" s="31"/>
      <c r="L533" s="43"/>
      <c r="M533" s="21" t="s">
        <v>667</v>
      </c>
      <c r="N533" s="21"/>
      <c r="O533" s="21"/>
      <c r="P533" s="21"/>
      <c r="Q533" s="21"/>
      <c r="R533" s="21"/>
      <c r="S533" s="21"/>
      <c r="T533" s="21"/>
      <c r="U533" s="21"/>
      <c r="V533" s="21"/>
    </row>
    <row r="534" spans="1:22" s="2" customFormat="1" ht="30" customHeight="1" x14ac:dyDescent="0.25">
      <c r="A534" s="636"/>
      <c r="B534" s="331" t="s">
        <v>255</v>
      </c>
      <c r="C534" s="330" t="s">
        <v>2619</v>
      </c>
      <c r="D534" s="434">
        <f>D533+1</f>
        <v>431</v>
      </c>
      <c r="E534" s="435" t="s">
        <v>171</v>
      </c>
      <c r="F534" s="707">
        <v>2</v>
      </c>
      <c r="G534" s="927"/>
      <c r="H534" s="928"/>
      <c r="I534" s="923"/>
      <c r="J534" s="198" t="str">
        <f>IF(LEN(F534)&gt;0,"","Belum Terisi")</f>
        <v/>
      </c>
      <c r="K534" s="31"/>
      <c r="L534" s="43"/>
      <c r="M534" s="21" t="s">
        <v>667</v>
      </c>
      <c r="N534" s="21"/>
      <c r="O534" s="21"/>
      <c r="P534" s="21"/>
      <c r="Q534" s="21"/>
      <c r="R534" s="21"/>
      <c r="S534" s="21"/>
      <c r="T534" s="21"/>
      <c r="U534" s="21"/>
      <c r="V534" s="21"/>
    </row>
    <row r="535" spans="1:22" s="2" customFormat="1" ht="30" customHeight="1" x14ac:dyDescent="0.25">
      <c r="A535" s="637" t="str">
        <f>"F "&amp;(RIGHT(A530,3)+1)</f>
        <v>F 103</v>
      </c>
      <c r="B535" s="326"/>
      <c r="C535" s="330" t="s">
        <v>431</v>
      </c>
      <c r="D535" s="434">
        <f>D534+1</f>
        <v>432</v>
      </c>
      <c r="E535" s="435" t="s">
        <v>171</v>
      </c>
      <c r="F535" s="686">
        <v>5</v>
      </c>
      <c r="G535" s="927" t="s">
        <v>625</v>
      </c>
      <c r="H535" s="942"/>
      <c r="I535" s="923"/>
      <c r="J535" s="198" t="str">
        <f>IF(F535="","Belum Terisi",IF(OR(F535=1,F535,2,F535=4,F535=5),"","CEK"))</f>
        <v/>
      </c>
      <c r="K535" s="31" t="str">
        <f t="shared" ref="K535:K537" si="116">IF(J535="CEK","Inputan Tidak Sesuai","")</f>
        <v/>
      </c>
      <c r="L535" s="31"/>
      <c r="M535" s="21" t="s">
        <v>667</v>
      </c>
      <c r="N535" s="21"/>
      <c r="O535" s="21"/>
      <c r="P535" s="21"/>
      <c r="Q535" s="21"/>
      <c r="R535" s="21"/>
      <c r="S535" s="21"/>
      <c r="T535" s="21"/>
      <c r="U535" s="21"/>
      <c r="V535" s="21"/>
    </row>
    <row r="536" spans="1:22" s="2" customFormat="1" ht="30" customHeight="1" x14ac:dyDescent="0.25">
      <c r="A536" s="633" t="s">
        <v>432</v>
      </c>
      <c r="B536" s="332"/>
      <c r="C536" s="333"/>
      <c r="D536" s="443"/>
      <c r="E536" s="436"/>
      <c r="F536" s="704"/>
      <c r="G536" s="924"/>
      <c r="H536" s="928"/>
      <c r="I536" s="923"/>
      <c r="J536" s="98"/>
      <c r="K536" s="31"/>
      <c r="L536" s="31"/>
      <c r="M536" s="21" t="s">
        <v>667</v>
      </c>
      <c r="N536" s="21"/>
      <c r="O536" s="21"/>
      <c r="P536" s="21"/>
      <c r="Q536" s="21"/>
      <c r="R536" s="21"/>
      <c r="S536" s="21"/>
      <c r="T536" s="21"/>
      <c r="U536" s="21"/>
      <c r="V536" s="21"/>
    </row>
    <row r="537" spans="1:22" s="2" customFormat="1" ht="30" customHeight="1" x14ac:dyDescent="0.25">
      <c r="A537" s="635" t="str">
        <f>"F "&amp;(RIGHT(A535,3)+1)</f>
        <v>F 104</v>
      </c>
      <c r="B537" s="334" t="s">
        <v>41</v>
      </c>
      <c r="C537" s="335" t="s">
        <v>433</v>
      </c>
      <c r="D537" s="434">
        <f>D535+1</f>
        <v>433</v>
      </c>
      <c r="E537" s="435" t="s">
        <v>171</v>
      </c>
      <c r="F537" s="705">
        <v>5</v>
      </c>
      <c r="G537" s="927" t="s">
        <v>626</v>
      </c>
      <c r="H537" s="934"/>
      <c r="I537" s="923"/>
      <c r="J537" s="198" t="str">
        <f>IF(F537="","Belum Terisi",IF(OR(F537=1,F537=5),"","CEK"))</f>
        <v/>
      </c>
      <c r="K537" s="31" t="str">
        <f t="shared" si="116"/>
        <v/>
      </c>
      <c r="L537" s="43"/>
      <c r="M537" s="21" t="s">
        <v>667</v>
      </c>
      <c r="N537" s="21"/>
      <c r="O537" s="21"/>
      <c r="P537" s="21"/>
      <c r="Q537" s="21"/>
      <c r="R537" s="21"/>
      <c r="S537" s="21"/>
      <c r="T537" s="21"/>
      <c r="U537" s="21"/>
      <c r="V537" s="21"/>
    </row>
    <row r="538" spans="1:22" s="2" customFormat="1" ht="30" customHeight="1" x14ac:dyDescent="0.25">
      <c r="A538" s="638"/>
      <c r="B538" s="334" t="s">
        <v>139</v>
      </c>
      <c r="C538" s="335" t="s">
        <v>434</v>
      </c>
      <c r="D538" s="434">
        <f>D537+1</f>
        <v>434</v>
      </c>
      <c r="E538" s="435" t="s">
        <v>171</v>
      </c>
      <c r="F538" s="707">
        <v>4</v>
      </c>
      <c r="G538" s="927" t="s">
        <v>626</v>
      </c>
      <c r="H538" s="928"/>
      <c r="I538" s="923"/>
      <c r="J538" s="198" t="str">
        <f>IF(F538="","Belum Terisi",IF(AND(F537=1,F538&lt;&gt;1),"CEK",IF(OR(F538=1,F538=2,F538=4,F538=5),"","CEK")))</f>
        <v/>
      </c>
      <c r="K538" s="31" t="str">
        <f>IF(AND(J538="CEK",F537=1,F538&lt;&gt;1),"Tidak Terdapat Penerangan Jalan Umum di Desa","")</f>
        <v/>
      </c>
      <c r="L538" s="43"/>
      <c r="M538" s="21" t="s">
        <v>667</v>
      </c>
      <c r="N538" s="21"/>
      <c r="O538" s="21"/>
      <c r="P538" s="21"/>
      <c r="Q538" s="21"/>
      <c r="R538" s="21"/>
      <c r="S538" s="21"/>
      <c r="T538" s="21"/>
      <c r="U538" s="21"/>
      <c r="V538" s="21"/>
    </row>
    <row r="539" spans="1:22" s="2" customFormat="1" ht="30" customHeight="1" x14ac:dyDescent="0.25">
      <c r="A539" s="632" t="s">
        <v>1423</v>
      </c>
      <c r="B539" s="324" t="s">
        <v>436</v>
      </c>
      <c r="C539" s="325"/>
      <c r="D539" s="499"/>
      <c r="E539" s="431"/>
      <c r="F539" s="701"/>
      <c r="G539" s="924"/>
      <c r="H539" s="928"/>
      <c r="I539" s="923"/>
      <c r="J539" s="98"/>
      <c r="K539" s="31"/>
      <c r="L539" s="43"/>
      <c r="M539" s="21" t="s">
        <v>667</v>
      </c>
      <c r="N539" s="21"/>
      <c r="O539" s="21"/>
      <c r="P539" s="21"/>
      <c r="Q539" s="21"/>
      <c r="R539" s="21"/>
      <c r="S539" s="21"/>
      <c r="T539" s="21"/>
      <c r="U539" s="21"/>
      <c r="V539" s="21"/>
    </row>
    <row r="540" spans="1:22" s="2" customFormat="1" ht="30" customHeight="1" x14ac:dyDescent="0.25">
      <c r="A540" s="633" t="s">
        <v>437</v>
      </c>
      <c r="B540" s="326"/>
      <c r="C540" s="325"/>
      <c r="D540" s="499"/>
      <c r="E540" s="482"/>
      <c r="F540" s="740"/>
      <c r="G540" s="927"/>
      <c r="H540" s="928"/>
      <c r="I540" s="923"/>
      <c r="J540" s="98"/>
      <c r="K540" s="31"/>
      <c r="L540" s="31"/>
      <c r="M540" s="21" t="s">
        <v>667</v>
      </c>
      <c r="N540" s="21"/>
      <c r="O540" s="21"/>
      <c r="P540" s="21"/>
      <c r="Q540" s="21"/>
      <c r="R540" s="21"/>
      <c r="S540" s="21"/>
      <c r="T540" s="21"/>
      <c r="U540" s="21"/>
      <c r="V540" s="21"/>
    </row>
    <row r="541" spans="1:22" s="2" customFormat="1" ht="40.15" customHeight="1" x14ac:dyDescent="0.25">
      <c r="A541" s="639" t="s">
        <v>1424</v>
      </c>
      <c r="B541" s="334" t="s">
        <v>41</v>
      </c>
      <c r="C541" s="335" t="s">
        <v>438</v>
      </c>
      <c r="D541" s="434">
        <f>D538+1</f>
        <v>435</v>
      </c>
      <c r="E541" s="435" t="s">
        <v>171</v>
      </c>
      <c r="F541" s="705">
        <v>1</v>
      </c>
      <c r="G541" s="927" t="s">
        <v>627</v>
      </c>
      <c r="H541" s="942"/>
      <c r="I541" s="923"/>
      <c r="J541" s="198" t="str">
        <f>IF(F541="","Belum Terisi",IF(OR(F541=1,F541=5),"","CEK"))</f>
        <v/>
      </c>
      <c r="K541" s="31" t="str">
        <f t="shared" ref="K541" si="117">IF(J541="CEK","Inputan Tidak Sesuai","")</f>
        <v/>
      </c>
      <c r="L541" s="43"/>
      <c r="M541" s="21" t="s">
        <v>667</v>
      </c>
      <c r="N541" s="21"/>
      <c r="O541" s="21"/>
      <c r="P541" s="21"/>
      <c r="Q541" s="21"/>
      <c r="R541" s="21"/>
      <c r="S541" s="21"/>
      <c r="T541" s="21"/>
      <c r="U541" s="21"/>
      <c r="V541" s="21"/>
    </row>
    <row r="542" spans="1:22" s="2" customFormat="1" ht="30" customHeight="1" x14ac:dyDescent="0.25">
      <c r="A542" s="640"/>
      <c r="B542" s="334" t="s">
        <v>139</v>
      </c>
      <c r="C542" s="328" t="s">
        <v>439</v>
      </c>
      <c r="D542" s="434">
        <f>D541+1</f>
        <v>436</v>
      </c>
      <c r="E542" s="435" t="s">
        <v>171</v>
      </c>
      <c r="F542" s="707">
        <v>1</v>
      </c>
      <c r="G542" s="927" t="s">
        <v>627</v>
      </c>
      <c r="H542" s="928">
        <v>3</v>
      </c>
      <c r="I542" s="923"/>
      <c r="J542" s="198" t="str">
        <f>IF(F542="","Belum Terisi",IF(AND(F541=1,F542&lt;&gt;1),"CEK",IF(AND(F541=5,F542=1),"CEK",IF(OR(F542=1,F542=2,F542=4,F5425),"","CEK"))))</f>
        <v/>
      </c>
      <c r="K542" s="31" t="str">
        <f>IF(AND(J542="CEK",F541=1,F542&lt;&gt;1),"Tidak Terdapat Angkutan Perdesaan di Desa",IF(AND(J542="CEK",F541=5,F542=1),"Terdapat Angkutan Perdesaan di Desa",""))</f>
        <v/>
      </c>
      <c r="L542" s="43"/>
      <c r="M542" s="21" t="s">
        <v>667</v>
      </c>
      <c r="N542" s="21"/>
      <c r="O542" s="21"/>
      <c r="P542" s="21"/>
      <c r="Q542" s="21"/>
      <c r="R542" s="21"/>
      <c r="S542" s="21"/>
      <c r="T542" s="21"/>
      <c r="U542" s="21"/>
      <c r="V542" s="21"/>
    </row>
    <row r="543" spans="1:22" s="2" customFormat="1" ht="30" customHeight="1" x14ac:dyDescent="0.25">
      <c r="A543" s="635" t="str">
        <f>"F "&amp;(RIGHT(A541,3)+1)</f>
        <v>F 202</v>
      </c>
      <c r="B543" s="336"/>
      <c r="C543" s="328" t="s">
        <v>440</v>
      </c>
      <c r="D543" s="443"/>
      <c r="E543" s="436"/>
      <c r="F543" s="704"/>
      <c r="G543" s="927"/>
      <c r="H543" s="928"/>
      <c r="I543" s="923"/>
      <c r="J543" s="98"/>
      <c r="K543" s="31"/>
      <c r="L543" s="43"/>
      <c r="M543" s="21" t="s">
        <v>667</v>
      </c>
      <c r="N543" s="21"/>
      <c r="O543" s="21"/>
      <c r="P543" s="21"/>
      <c r="Q543" s="21"/>
      <c r="R543" s="21"/>
      <c r="S543" s="21"/>
      <c r="T543" s="21"/>
      <c r="U543" s="21"/>
      <c r="V543" s="21"/>
    </row>
    <row r="544" spans="1:22" s="2" customFormat="1" ht="30" customHeight="1" x14ac:dyDescent="0.25">
      <c r="A544" s="641"/>
      <c r="B544" s="331" t="s">
        <v>41</v>
      </c>
      <c r="C544" s="328" t="s">
        <v>1425</v>
      </c>
      <c r="D544" s="434">
        <f>D542+1</f>
        <v>437</v>
      </c>
      <c r="E544" s="435" t="s">
        <v>171</v>
      </c>
      <c r="F544" s="693">
        <v>3</v>
      </c>
      <c r="G544" s="927"/>
      <c r="H544" s="928"/>
      <c r="I544" s="923"/>
      <c r="J544" s="198" t="str">
        <f t="shared" ref="J544:J551" si="118">IF(F544="","Belum Terisi",IF(AND($F$541=1,F544="Ada"),"CEK",IF(AND($F$541=5,COUNTIF($F$545:$F$551,"Tidak Ada")=7,$F$544&lt;&gt;1),"CEK","")))</f>
        <v/>
      </c>
      <c r="K544" s="31" t="str">
        <f t="shared" ref="K544:K551" si="119">IF(AND(J544="CEK",$F$541=5),"Terdapat Angkutan Perdesaan/ Lokal/ Sejenis di Desa",IF(AND(J544="CEK",$F$541=1),"Tidak Terdapat Angkutan Perdesaan/ Lokal/ Sejenis di Desa",""))</f>
        <v/>
      </c>
      <c r="L544" s="31"/>
      <c r="M544" s="21" t="s">
        <v>667</v>
      </c>
      <c r="N544" s="847" t="s">
        <v>668</v>
      </c>
      <c r="O544" s="21"/>
      <c r="P544" s="21"/>
      <c r="Q544" s="21"/>
      <c r="R544" s="21"/>
      <c r="S544" s="21"/>
      <c r="T544" s="21"/>
      <c r="U544" s="21"/>
      <c r="V544" s="21"/>
    </row>
    <row r="545" spans="1:22" s="2" customFormat="1" ht="30" customHeight="1" x14ac:dyDescent="0.25">
      <c r="A545" s="641"/>
      <c r="B545" s="331" t="s">
        <v>139</v>
      </c>
      <c r="C545" s="328" t="s">
        <v>1426</v>
      </c>
      <c r="D545" s="434">
        <f t="shared" ref="D545:D551" si="120">D544+1</f>
        <v>438</v>
      </c>
      <c r="E545" s="435" t="s">
        <v>171</v>
      </c>
      <c r="F545" s="706" t="s">
        <v>263</v>
      </c>
      <c r="G545" s="927"/>
      <c r="H545" s="928"/>
      <c r="I545" s="923"/>
      <c r="J545" s="198" t="str">
        <f t="shared" si="118"/>
        <v/>
      </c>
      <c r="K545" s="31" t="str">
        <f t="shared" si="119"/>
        <v/>
      </c>
      <c r="L545" s="43"/>
      <c r="M545" s="21" t="s">
        <v>667</v>
      </c>
      <c r="N545" s="21"/>
      <c r="O545" s="21"/>
      <c r="P545" s="21"/>
      <c r="Q545" s="21"/>
      <c r="R545" s="21"/>
      <c r="S545" s="21"/>
      <c r="T545" s="21"/>
      <c r="U545" s="21"/>
      <c r="V545" s="21"/>
    </row>
    <row r="546" spans="1:22" s="2" customFormat="1" ht="30" customHeight="1" x14ac:dyDescent="0.25">
      <c r="A546" s="641"/>
      <c r="B546" s="331" t="s">
        <v>251</v>
      </c>
      <c r="C546" s="328" t="s">
        <v>1427</v>
      </c>
      <c r="D546" s="434">
        <f t="shared" si="120"/>
        <v>439</v>
      </c>
      <c r="E546" s="435" t="s">
        <v>171</v>
      </c>
      <c r="F546" s="706" t="s">
        <v>263</v>
      </c>
      <c r="G546" s="927"/>
      <c r="H546" s="928"/>
      <c r="I546" s="923"/>
      <c r="J546" s="198" t="str">
        <f t="shared" si="118"/>
        <v/>
      </c>
      <c r="K546" s="31" t="str">
        <f t="shared" si="119"/>
        <v/>
      </c>
      <c r="L546" s="43"/>
      <c r="M546" s="21" t="s">
        <v>667</v>
      </c>
      <c r="N546" s="21"/>
      <c r="O546" s="21"/>
      <c r="P546" s="21"/>
      <c r="Q546" s="21"/>
      <c r="R546" s="21"/>
      <c r="S546" s="21"/>
      <c r="T546" s="21"/>
      <c r="U546" s="21"/>
      <c r="V546" s="21"/>
    </row>
    <row r="547" spans="1:22" s="2" customFormat="1" ht="30" customHeight="1" x14ac:dyDescent="0.25">
      <c r="A547" s="641"/>
      <c r="B547" s="331" t="s">
        <v>255</v>
      </c>
      <c r="C547" s="328" t="s">
        <v>1428</v>
      </c>
      <c r="D547" s="434">
        <f t="shared" si="120"/>
        <v>440</v>
      </c>
      <c r="E547" s="435" t="s">
        <v>171</v>
      </c>
      <c r="F547" s="706" t="s">
        <v>263</v>
      </c>
      <c r="G547" s="927"/>
      <c r="H547" s="928"/>
      <c r="I547" s="923"/>
      <c r="J547" s="198" t="str">
        <f t="shared" si="118"/>
        <v/>
      </c>
      <c r="K547" s="31" t="str">
        <f t="shared" si="119"/>
        <v/>
      </c>
      <c r="L547" s="43"/>
      <c r="M547" s="21" t="s">
        <v>667</v>
      </c>
      <c r="N547" s="21"/>
      <c r="O547" s="21"/>
      <c r="P547" s="21"/>
      <c r="Q547" s="21"/>
      <c r="R547" s="21"/>
      <c r="S547" s="21"/>
      <c r="T547" s="21"/>
      <c r="U547" s="21"/>
      <c r="V547" s="21"/>
    </row>
    <row r="548" spans="1:22" s="2" customFormat="1" ht="30" customHeight="1" x14ac:dyDescent="0.25">
      <c r="A548" s="641"/>
      <c r="B548" s="331" t="s">
        <v>252</v>
      </c>
      <c r="C548" s="328" t="s">
        <v>1429</v>
      </c>
      <c r="D548" s="434">
        <f t="shared" si="120"/>
        <v>441</v>
      </c>
      <c r="E548" s="435" t="s">
        <v>171</v>
      </c>
      <c r="F548" s="706" t="s">
        <v>263</v>
      </c>
      <c r="G548" s="927"/>
      <c r="H548" s="928"/>
      <c r="I548" s="923"/>
      <c r="J548" s="198" t="str">
        <f t="shared" si="118"/>
        <v/>
      </c>
      <c r="K548" s="31" t="str">
        <f t="shared" si="119"/>
        <v/>
      </c>
      <c r="L548" s="31"/>
      <c r="M548" s="21" t="s">
        <v>667</v>
      </c>
      <c r="N548" s="21"/>
      <c r="O548" s="21"/>
      <c r="P548" s="21"/>
      <c r="Q548" s="21"/>
      <c r="R548" s="21"/>
      <c r="S548" s="21"/>
      <c r="T548" s="21"/>
      <c r="U548" s="21"/>
      <c r="V548" s="21"/>
    </row>
    <row r="549" spans="1:22" s="2" customFormat="1" ht="30" customHeight="1" x14ac:dyDescent="0.25">
      <c r="A549" s="641"/>
      <c r="B549" s="331" t="s">
        <v>253</v>
      </c>
      <c r="C549" s="328" t="s">
        <v>1298</v>
      </c>
      <c r="D549" s="434">
        <f t="shared" si="120"/>
        <v>442</v>
      </c>
      <c r="E549" s="435" t="s">
        <v>171</v>
      </c>
      <c r="F549" s="706" t="s">
        <v>263</v>
      </c>
      <c r="G549" s="927"/>
      <c r="H549" s="928"/>
      <c r="I549" s="923"/>
      <c r="J549" s="198" t="str">
        <f t="shared" si="118"/>
        <v/>
      </c>
      <c r="K549" s="31" t="str">
        <f t="shared" si="119"/>
        <v/>
      </c>
      <c r="L549" s="43"/>
      <c r="M549" s="21" t="s">
        <v>667</v>
      </c>
      <c r="N549" s="21"/>
      <c r="O549" s="21"/>
      <c r="P549" s="21"/>
      <c r="Q549" s="21"/>
      <c r="R549" s="21"/>
      <c r="S549" s="21"/>
      <c r="T549" s="21"/>
      <c r="U549" s="21"/>
      <c r="V549" s="21"/>
    </row>
    <row r="550" spans="1:22" s="2" customFormat="1" ht="30" customHeight="1" x14ac:dyDescent="0.25">
      <c r="A550" s="641"/>
      <c r="B550" s="331" t="s">
        <v>254</v>
      </c>
      <c r="C550" s="328" t="s">
        <v>1430</v>
      </c>
      <c r="D550" s="434">
        <f t="shared" si="120"/>
        <v>443</v>
      </c>
      <c r="E550" s="435" t="s">
        <v>171</v>
      </c>
      <c r="F550" s="706" t="s">
        <v>263</v>
      </c>
      <c r="G550" s="927"/>
      <c r="H550" s="928"/>
      <c r="I550" s="923"/>
      <c r="J550" s="198" t="str">
        <f t="shared" si="118"/>
        <v/>
      </c>
      <c r="K550" s="31" t="str">
        <f t="shared" si="119"/>
        <v/>
      </c>
      <c r="L550" s="43"/>
      <c r="M550" s="21" t="s">
        <v>667</v>
      </c>
      <c r="N550" s="21"/>
      <c r="O550" s="21"/>
      <c r="P550" s="21"/>
      <c r="Q550" s="21"/>
      <c r="R550" s="21"/>
      <c r="S550" s="21"/>
      <c r="T550" s="21"/>
      <c r="U550" s="21"/>
      <c r="V550" s="21"/>
    </row>
    <row r="551" spans="1:22" s="2" customFormat="1" ht="30" customHeight="1" x14ac:dyDescent="0.25">
      <c r="A551" s="640"/>
      <c r="B551" s="331" t="s">
        <v>256</v>
      </c>
      <c r="C551" s="328" t="s">
        <v>1431</v>
      </c>
      <c r="D551" s="434">
        <f t="shared" si="120"/>
        <v>444</v>
      </c>
      <c r="E551" s="435" t="s">
        <v>171</v>
      </c>
      <c r="F551" s="707" t="s">
        <v>263</v>
      </c>
      <c r="G551" s="927"/>
      <c r="H551" s="928"/>
      <c r="I551" s="923"/>
      <c r="J551" s="198" t="str">
        <f t="shared" si="118"/>
        <v/>
      </c>
      <c r="K551" s="31" t="str">
        <f t="shared" si="119"/>
        <v/>
      </c>
      <c r="L551" s="43"/>
      <c r="M551" s="21" t="s">
        <v>667</v>
      </c>
      <c r="N551" s="21"/>
      <c r="O551" s="21"/>
      <c r="P551" s="21"/>
      <c r="Q551" s="21"/>
      <c r="R551" s="21"/>
      <c r="S551" s="21"/>
      <c r="T551" s="21"/>
      <c r="U551" s="21"/>
      <c r="V551" s="21"/>
    </row>
    <row r="552" spans="1:22" s="2" customFormat="1" ht="30" customHeight="1" x14ac:dyDescent="0.25">
      <c r="A552" s="633" t="s">
        <v>85</v>
      </c>
      <c r="B552" s="324"/>
      <c r="C552" s="325"/>
      <c r="D552" s="441"/>
      <c r="E552" s="429"/>
      <c r="F552" s="714"/>
      <c r="G552" s="924"/>
      <c r="H552" s="922"/>
      <c r="I552" s="947"/>
      <c r="J552" s="98"/>
      <c r="K552" s="31"/>
      <c r="L552" s="43"/>
      <c r="M552" s="21" t="s">
        <v>667</v>
      </c>
      <c r="N552" s="21"/>
      <c r="O552" s="21"/>
      <c r="P552" s="21"/>
      <c r="Q552" s="21"/>
      <c r="R552" s="21"/>
      <c r="S552" s="21"/>
      <c r="T552" s="21"/>
      <c r="U552" s="21"/>
      <c r="V552" s="21"/>
    </row>
    <row r="553" spans="1:22" s="2" customFormat="1" ht="40.15" customHeight="1" x14ac:dyDescent="0.25">
      <c r="A553" s="635" t="str">
        <f>"F "&amp;(RIGHT(A543,3)+1)</f>
        <v>F 203</v>
      </c>
      <c r="B553" s="337" t="s">
        <v>41</v>
      </c>
      <c r="C553" s="338" t="s">
        <v>919</v>
      </c>
      <c r="D553" s="434">
        <f>D551+1</f>
        <v>445</v>
      </c>
      <c r="E553" s="427" t="s">
        <v>638</v>
      </c>
      <c r="F553" s="718">
        <v>771</v>
      </c>
      <c r="G553" s="941" t="s">
        <v>141</v>
      </c>
      <c r="H553" s="922"/>
      <c r="I553" s="947"/>
      <c r="J553" s="198" t="str">
        <f>IF(F553="","Belum Terisi",IF(SUM($F$553,$F$554,'ISU DESA dan PERDESAAN'!F621)=$F$124,"","CEK"))</f>
        <v/>
      </c>
      <c r="K553" s="31" t="str">
        <f>IF(J553="CEK","Jumlah Rumah Terakses Listrik PLN + Non PLN + Tidak Terfasilitasi Listrik (Template Isu Desa &amp; Perdesaan) Harus Sama Dengan Total Rumah di Desa","")</f>
        <v/>
      </c>
      <c r="L553" s="43"/>
      <c r="M553" s="21" t="s">
        <v>667</v>
      </c>
      <c r="N553" s="21"/>
      <c r="O553" s="21"/>
      <c r="P553" s="21"/>
      <c r="Q553" s="21"/>
      <c r="R553" s="21"/>
      <c r="S553" s="21"/>
      <c r="T553" s="21"/>
      <c r="U553" s="21"/>
      <c r="V553" s="21"/>
    </row>
    <row r="554" spans="1:22" s="2" customFormat="1" ht="40.15" customHeight="1" x14ac:dyDescent="0.25">
      <c r="A554" s="642"/>
      <c r="B554" s="337" t="s">
        <v>139</v>
      </c>
      <c r="C554" s="338" t="s">
        <v>918</v>
      </c>
      <c r="D554" s="434">
        <f>D553+1</f>
        <v>446</v>
      </c>
      <c r="E554" s="427" t="s">
        <v>638</v>
      </c>
      <c r="F554" s="717">
        <v>0</v>
      </c>
      <c r="G554" s="941" t="s">
        <v>141</v>
      </c>
      <c r="H554" s="922"/>
      <c r="I554" s="947"/>
      <c r="J554" s="198" t="str">
        <f>IF(F554="","Belum Terisi",IF(SUM($F$553,$F$554,'ISU DESA dan PERDESAAN'!F621)=$F$124,"","CEK"))</f>
        <v/>
      </c>
      <c r="K554" s="31" t="str">
        <f>IF(J554="CEK","Jumlah Rumah Terakses Listrik PLN + Non PLN + Tidak Terfasilitasi Listrik (Template Isu Desa &amp; Perdesaan) Harus Sama Dengan Total Rumah di Desa","")</f>
        <v/>
      </c>
      <c r="L554" s="43"/>
      <c r="M554" s="21" t="s">
        <v>667</v>
      </c>
      <c r="N554" s="21"/>
      <c r="O554" s="21"/>
      <c r="P554" s="21"/>
      <c r="Q554" s="21"/>
      <c r="R554" s="21"/>
      <c r="S554" s="21"/>
      <c r="T554" s="21"/>
      <c r="U554" s="21"/>
      <c r="V554" s="21"/>
    </row>
    <row r="555" spans="1:22" s="2" customFormat="1" ht="30" customHeight="1" x14ac:dyDescent="0.25">
      <c r="A555" s="635" t="str">
        <f>"F "&amp;(RIGHT(A553,3)+1)</f>
        <v>F 204</v>
      </c>
      <c r="B555" s="329"/>
      <c r="C555" s="338" t="s">
        <v>939</v>
      </c>
      <c r="D555" s="443"/>
      <c r="E555" s="429"/>
      <c r="F555" s="714"/>
      <c r="G555" s="941"/>
      <c r="H555" s="928"/>
      <c r="I555" s="923"/>
      <c r="J555" s="98"/>
      <c r="K555" s="31"/>
      <c r="L555" s="43"/>
      <c r="M555" s="21" t="s">
        <v>667</v>
      </c>
      <c r="N555" s="21"/>
      <c r="O555" s="21"/>
      <c r="P555" s="21"/>
      <c r="Q555" s="21"/>
      <c r="R555" s="21"/>
      <c r="S555" s="21"/>
      <c r="T555" s="21"/>
      <c r="U555" s="21"/>
      <c r="V555" s="21"/>
    </row>
    <row r="556" spans="1:22" s="2" customFormat="1" ht="30" customHeight="1" x14ac:dyDescent="0.25">
      <c r="A556" s="636"/>
      <c r="B556" s="337" t="s">
        <v>41</v>
      </c>
      <c r="C556" s="338" t="s">
        <v>1319</v>
      </c>
      <c r="D556" s="434">
        <f>D554+1</f>
        <v>447</v>
      </c>
      <c r="E556" s="468" t="s">
        <v>171</v>
      </c>
      <c r="F556" s="735" t="s">
        <v>263</v>
      </c>
      <c r="G556" s="941"/>
      <c r="H556" s="934"/>
      <c r="I556" s="923"/>
      <c r="J556" s="198" t="str">
        <f t="shared" ref="J556:J564" si="121">IF(F556="","Belum Terisi",IF(AND($F$554=0,F556="Ada"),"CEK",""))</f>
        <v/>
      </c>
      <c r="K556" s="31" t="str">
        <f t="shared" ref="K556:K564" si="122">IF(AND(J556="CEK",$F$554=0,F556="Ada"),"Tidak Terdapat Rumah Teraliri Listrik Bersumber dari Non-PLN","")</f>
        <v/>
      </c>
      <c r="L556" s="43"/>
      <c r="M556" s="21" t="s">
        <v>667</v>
      </c>
      <c r="N556" s="21"/>
      <c r="O556" s="21"/>
      <c r="P556" s="21"/>
      <c r="Q556" s="21"/>
      <c r="R556" s="21"/>
      <c r="S556" s="21"/>
      <c r="T556" s="21"/>
      <c r="U556" s="21"/>
      <c r="V556" s="21"/>
    </row>
    <row r="557" spans="1:22" s="2" customFormat="1" ht="30" customHeight="1" x14ac:dyDescent="0.25">
      <c r="A557" s="636"/>
      <c r="B557" s="337" t="s">
        <v>139</v>
      </c>
      <c r="C557" s="338" t="s">
        <v>1320</v>
      </c>
      <c r="D557" s="434">
        <f t="shared" ref="D557:D568" si="123">D556+1</f>
        <v>448</v>
      </c>
      <c r="E557" s="468" t="s">
        <v>171</v>
      </c>
      <c r="F557" s="735" t="s">
        <v>263</v>
      </c>
      <c r="G557" s="941"/>
      <c r="H557" s="934"/>
      <c r="I557" s="923"/>
      <c r="J557" s="198" t="str">
        <f t="shared" si="121"/>
        <v/>
      </c>
      <c r="K557" s="31" t="str">
        <f t="shared" si="122"/>
        <v/>
      </c>
      <c r="L557" s="31"/>
      <c r="M557" s="21" t="s">
        <v>667</v>
      </c>
      <c r="N557" s="21"/>
      <c r="O557" s="21"/>
      <c r="P557" s="21"/>
      <c r="Q557" s="21"/>
      <c r="R557" s="21"/>
      <c r="S557" s="21"/>
      <c r="T557" s="21"/>
      <c r="U557" s="21"/>
      <c r="V557" s="21"/>
    </row>
    <row r="558" spans="1:22" s="2" customFormat="1" ht="30" customHeight="1" x14ac:dyDescent="0.25">
      <c r="A558" s="636"/>
      <c r="B558" s="337" t="s">
        <v>251</v>
      </c>
      <c r="C558" s="338" t="s">
        <v>1321</v>
      </c>
      <c r="D558" s="434">
        <f t="shared" si="123"/>
        <v>449</v>
      </c>
      <c r="E558" s="468" t="s">
        <v>171</v>
      </c>
      <c r="F558" s="735" t="s">
        <v>263</v>
      </c>
      <c r="G558" s="941"/>
      <c r="H558" s="934"/>
      <c r="I558" s="923"/>
      <c r="J558" s="198" t="str">
        <f t="shared" si="121"/>
        <v/>
      </c>
      <c r="K558" s="31" t="str">
        <f t="shared" si="122"/>
        <v/>
      </c>
      <c r="L558" s="43"/>
      <c r="M558" s="21" t="s">
        <v>667</v>
      </c>
      <c r="N558" s="21"/>
      <c r="O558" s="21"/>
      <c r="P558" s="21"/>
      <c r="Q558" s="21"/>
      <c r="R558" s="21"/>
      <c r="S558" s="21"/>
      <c r="T558" s="21"/>
      <c r="U558" s="21"/>
      <c r="V558" s="21"/>
    </row>
    <row r="559" spans="1:22" s="2" customFormat="1" ht="30" customHeight="1" x14ac:dyDescent="0.25">
      <c r="A559" s="636"/>
      <c r="B559" s="337" t="s">
        <v>255</v>
      </c>
      <c r="C559" s="338" t="s">
        <v>1322</v>
      </c>
      <c r="D559" s="434">
        <f t="shared" si="123"/>
        <v>450</v>
      </c>
      <c r="E559" s="468" t="s">
        <v>171</v>
      </c>
      <c r="F559" s="735" t="s">
        <v>263</v>
      </c>
      <c r="G559" s="941"/>
      <c r="H559" s="934"/>
      <c r="I559" s="923"/>
      <c r="J559" s="198" t="str">
        <f t="shared" si="121"/>
        <v/>
      </c>
      <c r="K559" s="31" t="str">
        <f t="shared" si="122"/>
        <v/>
      </c>
      <c r="L559" s="43"/>
      <c r="M559" s="21" t="s">
        <v>667</v>
      </c>
      <c r="N559" s="21"/>
      <c r="O559" s="21"/>
      <c r="P559" s="21"/>
      <c r="Q559" s="21"/>
      <c r="R559" s="21"/>
      <c r="S559" s="21"/>
      <c r="T559" s="21"/>
      <c r="U559" s="21"/>
      <c r="V559" s="21"/>
    </row>
    <row r="560" spans="1:22" s="2" customFormat="1" ht="30" customHeight="1" x14ac:dyDescent="0.25">
      <c r="A560" s="636"/>
      <c r="B560" s="337" t="s">
        <v>252</v>
      </c>
      <c r="C560" s="338" t="s">
        <v>1323</v>
      </c>
      <c r="D560" s="434">
        <f t="shared" si="123"/>
        <v>451</v>
      </c>
      <c r="E560" s="468" t="s">
        <v>171</v>
      </c>
      <c r="F560" s="735" t="s">
        <v>263</v>
      </c>
      <c r="G560" s="941"/>
      <c r="H560" s="934"/>
      <c r="I560" s="923"/>
      <c r="J560" s="198" t="str">
        <f t="shared" si="121"/>
        <v/>
      </c>
      <c r="K560" s="31" t="str">
        <f t="shared" si="122"/>
        <v/>
      </c>
      <c r="L560" s="43"/>
      <c r="M560" s="21" t="s">
        <v>667</v>
      </c>
      <c r="N560" s="21"/>
      <c r="O560" s="21"/>
      <c r="P560" s="21"/>
      <c r="Q560" s="21"/>
      <c r="R560" s="21"/>
      <c r="S560" s="21"/>
      <c r="T560" s="21"/>
      <c r="U560" s="21"/>
      <c r="V560" s="21"/>
    </row>
    <row r="561" spans="1:22" s="2" customFormat="1" ht="30" customHeight="1" x14ac:dyDescent="0.25">
      <c r="A561" s="636"/>
      <c r="B561" s="337" t="s">
        <v>253</v>
      </c>
      <c r="C561" s="338" t="s">
        <v>1324</v>
      </c>
      <c r="D561" s="434">
        <f t="shared" si="123"/>
        <v>452</v>
      </c>
      <c r="E561" s="468" t="s">
        <v>171</v>
      </c>
      <c r="F561" s="735" t="s">
        <v>263</v>
      </c>
      <c r="G561" s="941"/>
      <c r="H561" s="934"/>
      <c r="I561" s="923"/>
      <c r="J561" s="198" t="str">
        <f t="shared" si="121"/>
        <v/>
      </c>
      <c r="K561" s="31" t="str">
        <f t="shared" si="122"/>
        <v/>
      </c>
      <c r="L561" s="31"/>
      <c r="M561" s="21" t="s">
        <v>667</v>
      </c>
      <c r="N561" s="21"/>
      <c r="O561" s="21"/>
      <c r="P561" s="21"/>
      <c r="Q561" s="21"/>
      <c r="R561" s="21"/>
      <c r="S561" s="21"/>
      <c r="T561" s="21"/>
      <c r="U561" s="21"/>
      <c r="V561" s="21"/>
    </row>
    <row r="562" spans="1:22" s="2" customFormat="1" ht="30" customHeight="1" x14ac:dyDescent="0.25">
      <c r="A562" s="636"/>
      <c r="B562" s="337" t="s">
        <v>254</v>
      </c>
      <c r="C562" s="338" t="s">
        <v>1325</v>
      </c>
      <c r="D562" s="434">
        <f t="shared" si="123"/>
        <v>453</v>
      </c>
      <c r="E562" s="468" t="s">
        <v>171</v>
      </c>
      <c r="F562" s="735" t="s">
        <v>263</v>
      </c>
      <c r="G562" s="941"/>
      <c r="H562" s="934">
        <v>1</v>
      </c>
      <c r="I562" s="923"/>
      <c r="J562" s="198" t="str">
        <f t="shared" si="121"/>
        <v/>
      </c>
      <c r="K562" s="31" t="str">
        <f t="shared" si="122"/>
        <v/>
      </c>
      <c r="L562" s="43"/>
      <c r="M562" s="21" t="s">
        <v>667</v>
      </c>
      <c r="N562" s="21"/>
      <c r="O562" s="21"/>
      <c r="P562" s="21"/>
      <c r="Q562" s="21"/>
      <c r="R562" s="21"/>
      <c r="S562" s="21"/>
      <c r="T562" s="21"/>
      <c r="U562" s="21"/>
      <c r="V562" s="21"/>
    </row>
    <row r="563" spans="1:22" s="2" customFormat="1" ht="30" customHeight="1" x14ac:dyDescent="0.25">
      <c r="A563" s="636"/>
      <c r="B563" s="337" t="s">
        <v>256</v>
      </c>
      <c r="C563" s="338" t="s">
        <v>1326</v>
      </c>
      <c r="D563" s="434">
        <f t="shared" si="123"/>
        <v>454</v>
      </c>
      <c r="E563" s="468" t="s">
        <v>171</v>
      </c>
      <c r="F563" s="735" t="s">
        <v>263</v>
      </c>
      <c r="G563" s="924"/>
      <c r="H563" s="934">
        <v>2</v>
      </c>
      <c r="I563" s="923"/>
      <c r="J563" s="198" t="str">
        <f t="shared" si="121"/>
        <v/>
      </c>
      <c r="K563" s="31" t="str">
        <f t="shared" si="122"/>
        <v/>
      </c>
      <c r="L563" s="43"/>
      <c r="M563" s="21" t="s">
        <v>667</v>
      </c>
      <c r="N563" s="21"/>
      <c r="O563" s="21"/>
      <c r="P563" s="21"/>
      <c r="Q563" s="21"/>
      <c r="R563" s="21"/>
      <c r="S563" s="21"/>
      <c r="T563" s="21"/>
      <c r="U563" s="21"/>
      <c r="V563" s="21"/>
    </row>
    <row r="564" spans="1:22" s="2" customFormat="1" ht="30" customHeight="1" x14ac:dyDescent="0.25">
      <c r="A564" s="636"/>
      <c r="B564" s="337" t="s">
        <v>257</v>
      </c>
      <c r="C564" s="338" t="s">
        <v>1327</v>
      </c>
      <c r="D564" s="434">
        <f t="shared" si="123"/>
        <v>455</v>
      </c>
      <c r="E564" s="468" t="s">
        <v>171</v>
      </c>
      <c r="F564" s="735" t="s">
        <v>263</v>
      </c>
      <c r="G564" s="924"/>
      <c r="H564" s="928">
        <v>4</v>
      </c>
      <c r="I564" s="923"/>
      <c r="J564" s="198" t="str">
        <f t="shared" si="121"/>
        <v/>
      </c>
      <c r="K564" s="31" t="str">
        <f t="shared" si="122"/>
        <v/>
      </c>
      <c r="L564" s="43"/>
      <c r="M564" s="21" t="s">
        <v>667</v>
      </c>
      <c r="N564" s="21"/>
      <c r="O564" s="21"/>
      <c r="P564" s="21"/>
      <c r="Q564" s="21"/>
      <c r="R564" s="21"/>
      <c r="S564" s="21"/>
      <c r="T564" s="21"/>
      <c r="U564" s="21"/>
      <c r="V564" s="21"/>
    </row>
    <row r="565" spans="1:22" s="2" customFormat="1" ht="30" customHeight="1" x14ac:dyDescent="0.25">
      <c r="A565" s="642"/>
      <c r="B565" s="337" t="s">
        <v>259</v>
      </c>
      <c r="C565" s="338" t="s">
        <v>2623</v>
      </c>
      <c r="D565" s="434">
        <f t="shared" si="123"/>
        <v>456</v>
      </c>
      <c r="E565" s="435" t="s">
        <v>171</v>
      </c>
      <c r="F565" s="686" t="s">
        <v>263</v>
      </c>
      <c r="G565" s="924"/>
      <c r="H565" s="928">
        <v>5</v>
      </c>
      <c r="I565" s="923"/>
      <c r="J565" s="198" t="str">
        <f>IF(F565="","Belum Terisi",IF(AND(F565="Tidak ada",COUNTIF($F$556:$F$564,"Ada")&gt;0),"CEK",IF(AND(F565&lt;&gt;"Tidak Ada",COUNTIF($F$556:$F$564,"Tidak Ada")=9),"CEK","")))</f>
        <v/>
      </c>
      <c r="K565" s="31" t="str">
        <f>IF(AND(J565="CEK",F565&lt;&gt;"Tidak Ada",COUNTIF($F$556:$F$564,"Tidak Ada")=9),"Tidak Ada Jenis Sumber Listrik Non-PLN EBT",IF(AND(J565="CEK",F565="Tidak Ada",COUNTIF($F$556:$F$564,"Ada")&gt;0),"Terdapat Jenis Sumber Listrik Non-PLN EBT",""))</f>
        <v/>
      </c>
      <c r="L565" s="43"/>
      <c r="M565" s="21" t="s">
        <v>667</v>
      </c>
      <c r="N565" s="21"/>
      <c r="O565" s="21"/>
      <c r="P565" s="21"/>
      <c r="Q565" s="21"/>
      <c r="R565" s="21"/>
      <c r="S565" s="21"/>
      <c r="T565" s="21"/>
      <c r="U565" s="21"/>
      <c r="V565" s="21"/>
    </row>
    <row r="566" spans="1:22" s="2" customFormat="1" ht="30" customHeight="1" x14ac:dyDescent="0.25">
      <c r="A566" s="639" t="str">
        <f>"F "&amp;(RIGHT(A555,3)+1)</f>
        <v>F 205</v>
      </c>
      <c r="B566" s="337" t="s">
        <v>41</v>
      </c>
      <c r="C566" s="338" t="s">
        <v>314</v>
      </c>
      <c r="D566" s="434">
        <f t="shared" si="123"/>
        <v>457</v>
      </c>
      <c r="E566" s="28" t="s">
        <v>261</v>
      </c>
      <c r="F566" s="894">
        <f>SUM(F553:F554)</f>
        <v>771</v>
      </c>
      <c r="G566" s="941" t="s">
        <v>141</v>
      </c>
      <c r="H566" s="928"/>
      <c r="I566" s="923"/>
      <c r="J566" s="198" t="str">
        <f>IF(LEN(F566)&gt;0,"","Belum Terisi")</f>
        <v/>
      </c>
      <c r="K566" s="31"/>
      <c r="L566" s="31"/>
      <c r="M566" s="21" t="s">
        <v>667</v>
      </c>
      <c r="N566" s="21"/>
      <c r="O566" s="21"/>
      <c r="P566" s="21"/>
      <c r="Q566" s="21"/>
      <c r="R566" s="21"/>
      <c r="S566" s="21"/>
      <c r="T566" s="21"/>
      <c r="U566" s="21"/>
      <c r="V566" s="21"/>
    </row>
    <row r="567" spans="1:22" s="2" customFormat="1" ht="30" customHeight="1" x14ac:dyDescent="0.25">
      <c r="A567" s="636"/>
      <c r="B567" s="337" t="s">
        <v>139</v>
      </c>
      <c r="C567" s="338" t="s">
        <v>315</v>
      </c>
      <c r="D567" s="434">
        <f t="shared" si="123"/>
        <v>458</v>
      </c>
      <c r="E567" s="49">
        <f>IF(AND('ISU DESA dan PERDESAAN'!F621="",F124=""),"Tidak Teridentifikasi",IF(AND('ISU DESA dan PERDESAAN'!F621=0,F124=0),0,((F124-('ISU DESA dan PERDESAAN'!F621))/F124)))</f>
        <v>1</v>
      </c>
      <c r="F567" s="750">
        <f>IF(AND(E567&gt;0%,E567&lt;=50%),3,
IF(AND(E567&gt;50%,E567&lt;=100%),5,IF(E567=0,1,"Tidak Teridentifikasi")))</f>
        <v>5</v>
      </c>
      <c r="G567" s="941" t="s">
        <v>141</v>
      </c>
      <c r="H567" s="925"/>
      <c r="I567" s="923"/>
      <c r="J567" s="198" t="str">
        <f>IF(LEN(F567)&gt;0,"","Belum Terisi")</f>
        <v/>
      </c>
      <c r="K567" s="31"/>
      <c r="L567" s="43"/>
      <c r="M567" s="21" t="s">
        <v>667</v>
      </c>
      <c r="N567" s="21"/>
      <c r="O567" s="21"/>
      <c r="P567" s="21"/>
      <c r="Q567" s="21"/>
      <c r="R567" s="21"/>
      <c r="S567" s="21"/>
      <c r="T567" s="21"/>
      <c r="U567" s="21"/>
      <c r="V567" s="21"/>
    </row>
    <row r="568" spans="1:22" s="2" customFormat="1" ht="30" customHeight="1" x14ac:dyDescent="0.25">
      <c r="A568" s="642"/>
      <c r="B568" s="337" t="s">
        <v>251</v>
      </c>
      <c r="C568" s="338" t="s">
        <v>316</v>
      </c>
      <c r="D568" s="434">
        <f t="shared" si="123"/>
        <v>459</v>
      </c>
      <c r="E568" s="435" t="s">
        <v>171</v>
      </c>
      <c r="F568" s="707">
        <v>5</v>
      </c>
      <c r="G568" s="941" t="s">
        <v>141</v>
      </c>
      <c r="H568" s="925"/>
      <c r="I568" s="923"/>
      <c r="J568" s="198" t="str">
        <f>IF(F568="","Belum Terisi",IF(AND(SUM($F$553:$F$554)=0,F568&lt;&gt;1),"CEK",IF(AND(SUM($F$553:$F$554)&gt;0,F568=1),"CEK",IF(OR(F568=1,F568=2,F568=4,F568=5),"","CEK"))))</f>
        <v/>
      </c>
      <c r="K568" s="31" t="str">
        <f>IF(AND(J568="CEK",SUM($F$553:$F$554)&gt;0,F568=1),"Terdapat Rumah Teraliri Listrik",IF(AND(J568="CEK",SUM($F$553:$F$554)=0,F568&lt;&gt;1),"Tidak Terdapat Rumah Teraliri Listrik",""))</f>
        <v/>
      </c>
      <c r="L568" s="43"/>
      <c r="M568" s="21" t="s">
        <v>667</v>
      </c>
      <c r="N568" s="21"/>
      <c r="O568" s="21"/>
      <c r="P568" s="21"/>
      <c r="Q568" s="21"/>
      <c r="R568" s="21"/>
      <c r="S568" s="21"/>
      <c r="T568" s="21"/>
      <c r="U568" s="21"/>
      <c r="V568" s="21"/>
    </row>
    <row r="569" spans="1:22" s="2" customFormat="1" ht="30" customHeight="1" x14ac:dyDescent="0.25">
      <c r="A569" s="633" t="s">
        <v>317</v>
      </c>
      <c r="B569" s="324"/>
      <c r="C569" s="325"/>
      <c r="D569" s="441"/>
      <c r="E569" s="429"/>
      <c r="F569" s="714"/>
      <c r="G569" s="924"/>
      <c r="H569" s="925"/>
      <c r="I569" s="923"/>
      <c r="J569" s="198"/>
      <c r="K569" s="31"/>
      <c r="L569" s="43"/>
      <c r="M569" s="21" t="s">
        <v>667</v>
      </c>
      <c r="N569" s="21"/>
      <c r="O569" s="21"/>
      <c r="P569" s="21"/>
      <c r="Q569" s="21"/>
      <c r="R569" s="21"/>
      <c r="S569" s="21"/>
      <c r="T569" s="21"/>
      <c r="U569" s="21"/>
      <c r="V569" s="21"/>
    </row>
    <row r="570" spans="1:22" s="2" customFormat="1" ht="30" customHeight="1" x14ac:dyDescent="0.25">
      <c r="A570" s="639" t="str">
        <f>"F "&amp;(RIGHT(A566,3)+1)</f>
        <v>F 206</v>
      </c>
      <c r="B570" s="337" t="s">
        <v>41</v>
      </c>
      <c r="C570" s="338" t="s">
        <v>318</v>
      </c>
      <c r="D570" s="434">
        <f>D568+1</f>
        <v>460</v>
      </c>
      <c r="E570" s="468" t="s">
        <v>171</v>
      </c>
      <c r="F570" s="751">
        <v>3</v>
      </c>
      <c r="G570" s="927" t="s">
        <v>628</v>
      </c>
      <c r="H570" s="925"/>
      <c r="I570" s="923"/>
      <c r="J570" s="198" t="str">
        <f>IF(F570="","Belum Terisi",IF(OR(F570=1,F570=3,F570=5),"","CEK"))</f>
        <v/>
      </c>
      <c r="K570" s="31" t="str">
        <f t="shared" ref="K570:K571" si="124">IF(J570="CEK","Inputan Tidak Sesuai","")</f>
        <v/>
      </c>
      <c r="L570" s="43"/>
      <c r="M570" s="21" t="s">
        <v>667</v>
      </c>
      <c r="N570" s="847" t="s">
        <v>668</v>
      </c>
      <c r="O570" s="21"/>
      <c r="P570" s="21"/>
      <c r="Q570" s="21"/>
      <c r="R570" s="21"/>
      <c r="S570" s="21"/>
      <c r="T570" s="21"/>
      <c r="U570" s="21"/>
      <c r="V570" s="21"/>
    </row>
    <row r="571" spans="1:22" s="2" customFormat="1" ht="30" customHeight="1" x14ac:dyDescent="0.25">
      <c r="A571" s="641"/>
      <c r="B571" s="337" t="s">
        <v>139</v>
      </c>
      <c r="C571" s="338" t="s">
        <v>319</v>
      </c>
      <c r="D571" s="434">
        <f t="shared" ref="D571:D576" si="125">D570+1</f>
        <v>461</v>
      </c>
      <c r="E571" s="435" t="s">
        <v>171</v>
      </c>
      <c r="F571" s="707">
        <v>4</v>
      </c>
      <c r="G571" s="927" t="s">
        <v>628</v>
      </c>
      <c r="H571" s="925"/>
      <c r="I571" s="923"/>
      <c r="J571" s="198" t="str">
        <f>IF(F571="","Belum Terisi",IF(OR(F571=1,F571=2,F571=4,F571=5),"","CEK"))</f>
        <v/>
      </c>
      <c r="K571" s="31" t="str">
        <f t="shared" si="124"/>
        <v/>
      </c>
      <c r="L571" s="43"/>
      <c r="M571" s="21" t="s">
        <v>667</v>
      </c>
      <c r="N571" s="847" t="s">
        <v>668</v>
      </c>
      <c r="O571" s="21"/>
      <c r="P571" s="21"/>
      <c r="Q571" s="21"/>
      <c r="R571" s="21"/>
      <c r="S571" s="21"/>
      <c r="T571" s="21"/>
      <c r="U571" s="21"/>
      <c r="V571" s="21"/>
    </row>
    <row r="572" spans="1:22" s="2" customFormat="1" ht="30" customHeight="1" x14ac:dyDescent="0.25">
      <c r="A572" s="639" t="str">
        <f>"F "&amp;(RIGHT(A570,3)+1)</f>
        <v>F 207</v>
      </c>
      <c r="B572" s="337" t="s">
        <v>41</v>
      </c>
      <c r="C572" s="338" t="s">
        <v>1328</v>
      </c>
      <c r="D572" s="434">
        <f t="shared" si="125"/>
        <v>462</v>
      </c>
      <c r="E572" s="427" t="s">
        <v>171</v>
      </c>
      <c r="F572" s="693" t="s">
        <v>285</v>
      </c>
      <c r="G572" s="924"/>
      <c r="H572" s="949"/>
      <c r="I572" s="923"/>
      <c r="J572" s="198" t="str">
        <f>IF(F572="","Belum Terisi",IF(AND($F$570=1,F572="Ada"),"CEK",""))</f>
        <v/>
      </c>
      <c r="K572" s="31" t="str">
        <f>IF(J572="CEK","Tidak Terdapat Akses Telepon di Desa","")</f>
        <v/>
      </c>
      <c r="L572" s="43"/>
      <c r="M572" s="21" t="s">
        <v>667</v>
      </c>
      <c r="N572" s="847" t="s">
        <v>668</v>
      </c>
      <c r="O572" s="21"/>
      <c r="P572" s="21"/>
      <c r="Q572" s="21"/>
      <c r="R572" s="21"/>
      <c r="S572" s="21"/>
      <c r="T572" s="21"/>
      <c r="U572" s="21"/>
      <c r="V572" s="21"/>
    </row>
    <row r="573" spans="1:22" s="2" customFormat="1" ht="30" customHeight="1" x14ac:dyDescent="0.25">
      <c r="A573" s="641"/>
      <c r="B573" s="337" t="s">
        <v>139</v>
      </c>
      <c r="C573" s="338" t="s">
        <v>1329</v>
      </c>
      <c r="D573" s="434">
        <f t="shared" si="125"/>
        <v>463</v>
      </c>
      <c r="E573" s="427" t="s">
        <v>171</v>
      </c>
      <c r="F573" s="694" t="s">
        <v>285</v>
      </c>
      <c r="G573" s="924"/>
      <c r="H573" s="925"/>
      <c r="I573" s="923"/>
      <c r="J573" s="198" t="str">
        <f>IF(F573="","Belum Terisi",IF(AND($F$570=1,F573="Ada"),"CEK",""))</f>
        <v/>
      </c>
      <c r="K573" s="31" t="str">
        <f>IF(J573="CEK","Tidak Terdapat Akses Telepon di Desa","")</f>
        <v/>
      </c>
      <c r="L573" s="43"/>
      <c r="M573" s="21" t="s">
        <v>667</v>
      </c>
      <c r="N573" s="21" t="s">
        <v>668</v>
      </c>
      <c r="O573" s="21"/>
      <c r="P573" s="21"/>
      <c r="Q573" s="21"/>
      <c r="R573" s="21"/>
      <c r="S573" s="21"/>
      <c r="T573" s="21"/>
      <c r="U573" s="21"/>
      <c r="V573" s="21"/>
    </row>
    <row r="574" spans="1:22" s="2" customFormat="1" ht="30" customHeight="1" x14ac:dyDescent="0.25">
      <c r="A574" s="641"/>
      <c r="B574" s="337" t="s">
        <v>251</v>
      </c>
      <c r="C574" s="338" t="s">
        <v>1330</v>
      </c>
      <c r="D574" s="434">
        <f t="shared" si="125"/>
        <v>464</v>
      </c>
      <c r="E574" s="427" t="s">
        <v>171</v>
      </c>
      <c r="F574" s="694" t="s">
        <v>285</v>
      </c>
      <c r="G574" s="924"/>
      <c r="H574" s="925"/>
      <c r="I574" s="923"/>
      <c r="J574" s="198" t="str">
        <f>IF(F574="","Belum Terisi",IF(AND($F$570=1,F574="Ada"),"CEK",""))</f>
        <v/>
      </c>
      <c r="K574" s="31" t="str">
        <f>IF(J574="CEK","Tidak Terdapat Akses Telepon di Desa","")</f>
        <v/>
      </c>
      <c r="L574" s="43"/>
      <c r="M574" s="21" t="s">
        <v>667</v>
      </c>
      <c r="N574" s="21" t="s">
        <v>668</v>
      </c>
      <c r="O574" s="21"/>
      <c r="P574" s="21"/>
      <c r="Q574" s="21"/>
      <c r="R574" s="21"/>
      <c r="S574" s="21"/>
      <c r="T574" s="21"/>
      <c r="U574" s="21"/>
      <c r="V574" s="21"/>
    </row>
    <row r="575" spans="1:22" s="2" customFormat="1" ht="30" customHeight="1" x14ac:dyDescent="0.25">
      <c r="A575" s="641"/>
      <c r="B575" s="337" t="s">
        <v>255</v>
      </c>
      <c r="C575" s="338" t="s">
        <v>1331</v>
      </c>
      <c r="D575" s="434">
        <f t="shared" si="125"/>
        <v>465</v>
      </c>
      <c r="E575" s="427" t="s">
        <v>171</v>
      </c>
      <c r="F575" s="694" t="s">
        <v>285</v>
      </c>
      <c r="G575" s="924"/>
      <c r="H575" s="949"/>
      <c r="I575" s="923"/>
      <c r="J575" s="198" t="str">
        <f>IF(F575="","Belum Terisi",IF(AND($F$570=1,F575="Ada"),"CEK",""))</f>
        <v/>
      </c>
      <c r="K575" s="31" t="str">
        <f>IF(J575="CEK","Tidak Terdapat Akses Telepon di Desa","")</f>
        <v/>
      </c>
      <c r="L575" s="43"/>
      <c r="M575" s="21" t="s">
        <v>667</v>
      </c>
      <c r="N575" s="21" t="s">
        <v>668</v>
      </c>
      <c r="O575" s="21"/>
      <c r="P575" s="21"/>
      <c r="Q575" s="21"/>
      <c r="R575" s="21"/>
      <c r="S575" s="21"/>
      <c r="T575" s="21"/>
      <c r="U575" s="21"/>
      <c r="V575" s="21"/>
    </row>
    <row r="576" spans="1:22" s="2" customFormat="1" ht="30" customHeight="1" x14ac:dyDescent="0.25">
      <c r="A576" s="640"/>
      <c r="B576" s="331" t="s">
        <v>252</v>
      </c>
      <c r="C576" s="901" t="s">
        <v>1332</v>
      </c>
      <c r="D576" s="434">
        <f t="shared" si="125"/>
        <v>466</v>
      </c>
      <c r="E576" s="427" t="s">
        <v>171</v>
      </c>
      <c r="F576" s="697" t="s">
        <v>263</v>
      </c>
      <c r="G576" s="924"/>
      <c r="H576" s="925"/>
      <c r="I576" s="923"/>
      <c r="J576" s="198" t="str">
        <f>IF(F576="","Belum Terisi",IF(AND($F$570=1,F576="Ada"),"CEK",""))</f>
        <v/>
      </c>
      <c r="K576" s="31" t="str">
        <f>IF(J576="CEK","Tidak Terdapat Akses Telepon di Desa","")</f>
        <v/>
      </c>
      <c r="L576" s="43"/>
      <c r="M576" s="21" t="s">
        <v>667</v>
      </c>
      <c r="N576" s="21" t="s">
        <v>668</v>
      </c>
      <c r="O576" s="21"/>
      <c r="P576" s="21"/>
      <c r="Q576" s="21"/>
      <c r="R576" s="21"/>
      <c r="S576" s="21"/>
      <c r="T576" s="21"/>
      <c r="U576" s="21"/>
      <c r="V576" s="21"/>
    </row>
    <row r="577" spans="1:22" s="2" customFormat="1" ht="30" customHeight="1" x14ac:dyDescent="0.25">
      <c r="A577" s="530"/>
      <c r="B577" s="866"/>
      <c r="C577" s="866"/>
      <c r="D577" s="530"/>
      <c r="E577" s="530"/>
      <c r="F577" s="865"/>
      <c r="G577" s="924"/>
      <c r="H577" s="922"/>
      <c r="I577" s="923"/>
      <c r="J577" s="198"/>
      <c r="K577" s="31"/>
      <c r="L577" s="31"/>
      <c r="M577" s="21"/>
      <c r="N577" s="21"/>
      <c r="O577" s="21"/>
      <c r="P577" s="21"/>
      <c r="Q577" s="21"/>
      <c r="R577" s="21"/>
      <c r="S577" s="21"/>
      <c r="T577" s="21"/>
      <c r="U577" s="21"/>
      <c r="V577" s="21"/>
    </row>
    <row r="578" spans="1:22" s="2" customFormat="1" ht="30" hidden="1" customHeight="1" x14ac:dyDescent="0.25">
      <c r="A578" s="98"/>
      <c r="B578" s="883" t="s">
        <v>535</v>
      </c>
      <c r="C578" s="884"/>
      <c r="D578" s="884"/>
      <c r="E578" s="884"/>
      <c r="F578" s="885"/>
      <c r="G578" s="924"/>
      <c r="H578" s="922"/>
      <c r="I578" s="923"/>
      <c r="J578" s="43"/>
      <c r="K578" s="31"/>
      <c r="L578" s="43"/>
      <c r="M578" s="16"/>
      <c r="N578" s="16"/>
      <c r="O578" s="16"/>
      <c r="P578" s="16"/>
      <c r="Q578" s="16"/>
      <c r="R578" s="16"/>
      <c r="S578" s="16"/>
      <c r="T578" s="16"/>
      <c r="U578" s="16"/>
      <c r="V578" s="16"/>
    </row>
    <row r="579" spans="1:22" s="2" customFormat="1" ht="30" hidden="1" customHeight="1" x14ac:dyDescent="0.25">
      <c r="A579" s="98"/>
      <c r="B579" s="879">
        <v>1</v>
      </c>
      <c r="C579" s="880" t="s">
        <v>248</v>
      </c>
      <c r="D579" s="508">
        <f>D576+1</f>
        <v>467</v>
      </c>
      <c r="E579" s="881"/>
      <c r="F579" s="882">
        <f>IFERROR(VALUE(F580+F585+F593),"Cek Kembali")</f>
        <v>86</v>
      </c>
      <c r="G579" s="927"/>
      <c r="H579" s="922"/>
      <c r="I579" s="923"/>
      <c r="J579" s="43"/>
      <c r="K579" s="31"/>
      <c r="L579" s="43"/>
      <c r="M579" s="16"/>
      <c r="N579" s="16"/>
      <c r="O579" s="16"/>
      <c r="P579" s="16"/>
      <c r="Q579" s="16"/>
      <c r="R579" s="16"/>
      <c r="S579" s="16"/>
      <c r="T579" s="16"/>
      <c r="U579" s="16"/>
      <c r="V579" s="16"/>
    </row>
    <row r="580" spans="1:22" s="2" customFormat="1" ht="30" hidden="1" customHeight="1" x14ac:dyDescent="0.25">
      <c r="A580" s="98"/>
      <c r="B580" s="99" t="s">
        <v>516</v>
      </c>
      <c r="C580" s="102" t="s">
        <v>249</v>
      </c>
      <c r="D580" s="103">
        <f>D579+1</f>
        <v>468</v>
      </c>
      <c r="E580" s="101"/>
      <c r="F580" s="104">
        <f>IFERROR(VALUE(F581+F582+F583+F584),"Cek Kembali")</f>
        <v>19</v>
      </c>
      <c r="G580" s="927"/>
      <c r="H580" s="922"/>
      <c r="I580" s="923"/>
      <c r="J580" s="43"/>
      <c r="K580" s="31"/>
      <c r="L580" s="43"/>
      <c r="M580" s="16"/>
      <c r="N580" s="16"/>
      <c r="O580" s="16"/>
      <c r="P580" s="16"/>
      <c r="Q580" s="16"/>
      <c r="R580" s="16"/>
      <c r="S580" s="16"/>
      <c r="T580" s="16"/>
      <c r="U580" s="16"/>
      <c r="V580" s="16"/>
    </row>
    <row r="581" spans="1:22" s="2" customFormat="1" ht="30" hidden="1" customHeight="1" x14ac:dyDescent="0.25">
      <c r="A581" s="98"/>
      <c r="B581" s="99"/>
      <c r="C581" s="105" t="s">
        <v>517</v>
      </c>
      <c r="D581" s="103">
        <f t="shared" ref="D581:D644" si="126">D580+1</f>
        <v>469</v>
      </c>
      <c r="E581" s="101"/>
      <c r="F581" s="106">
        <f>IFERROR(F171+F176+F179,"Cek Akses PAUD")</f>
        <v>8</v>
      </c>
      <c r="G581" s="927"/>
      <c r="H581" s="922"/>
      <c r="I581" s="923"/>
      <c r="J581" s="43"/>
      <c r="K581" s="31"/>
      <c r="L581" s="31"/>
      <c r="M581" s="16"/>
      <c r="N581" s="16"/>
      <c r="O581" s="16"/>
      <c r="P581" s="16"/>
      <c r="Q581" s="16"/>
      <c r="R581" s="16"/>
      <c r="S581" s="16"/>
      <c r="T581" s="16"/>
      <c r="U581" s="16"/>
      <c r="V581" s="16"/>
    </row>
    <row r="582" spans="1:22" s="2" customFormat="1" ht="30" hidden="1" customHeight="1" x14ac:dyDescent="0.25">
      <c r="A582" s="98"/>
      <c r="B582" s="99"/>
      <c r="C582" s="107" t="s">
        <v>518</v>
      </c>
      <c r="D582" s="103">
        <f t="shared" si="126"/>
        <v>470</v>
      </c>
      <c r="E582" s="101"/>
      <c r="F582" s="106">
        <f>IFERROR(F187+F190,"Cek Akses SD")</f>
        <v>6</v>
      </c>
      <c r="G582" s="927"/>
      <c r="H582" s="922"/>
      <c r="I582" s="923"/>
      <c r="J582" s="43"/>
      <c r="K582" s="31"/>
      <c r="L582" s="43"/>
      <c r="M582" s="16"/>
      <c r="N582" s="16"/>
      <c r="O582" s="16"/>
      <c r="P582" s="16"/>
      <c r="Q582" s="16"/>
      <c r="R582" s="16"/>
      <c r="S582" s="16"/>
      <c r="T582" s="16"/>
      <c r="U582" s="16"/>
      <c r="V582" s="16"/>
    </row>
    <row r="583" spans="1:22" s="2" customFormat="1" ht="30" hidden="1" customHeight="1" x14ac:dyDescent="0.25">
      <c r="A583" s="98"/>
      <c r="B583" s="99"/>
      <c r="C583" s="108" t="s">
        <v>519</v>
      </c>
      <c r="D583" s="103">
        <f t="shared" si="126"/>
        <v>471</v>
      </c>
      <c r="E583" s="101"/>
      <c r="F583" s="106">
        <f>IFERROR(VALUE(F198+F201),"Cek Akses SMP")</f>
        <v>2</v>
      </c>
      <c r="G583" s="927"/>
      <c r="H583" s="922"/>
      <c r="I583" s="923"/>
      <c r="J583" s="43"/>
      <c r="K583" s="31"/>
      <c r="L583" s="43"/>
      <c r="M583" s="16"/>
      <c r="N583" s="16"/>
      <c r="O583" s="16"/>
      <c r="P583" s="16"/>
      <c r="Q583" s="16"/>
      <c r="R583" s="16"/>
      <c r="S583" s="16"/>
      <c r="T583" s="16"/>
      <c r="U583" s="16"/>
      <c r="V583" s="16"/>
    </row>
    <row r="584" spans="1:22" s="2" customFormat="1" ht="30" hidden="1" customHeight="1" x14ac:dyDescent="0.25">
      <c r="A584" s="98"/>
      <c r="B584" s="99"/>
      <c r="C584" s="108" t="s">
        <v>520</v>
      </c>
      <c r="D584" s="103">
        <f t="shared" si="126"/>
        <v>472</v>
      </c>
      <c r="E584" s="101"/>
      <c r="F584" s="106">
        <f>IFERROR(F209+F212,"Cek Akses SMA")</f>
        <v>3</v>
      </c>
      <c r="G584" s="927"/>
      <c r="H584" s="922"/>
      <c r="I584" s="923"/>
      <c r="J584" s="43"/>
      <c r="K584" s="31"/>
      <c r="L584" s="43"/>
      <c r="M584" s="16"/>
      <c r="N584" s="16"/>
      <c r="O584" s="16"/>
      <c r="P584" s="16"/>
      <c r="Q584" s="16"/>
      <c r="R584" s="16"/>
      <c r="S584" s="16"/>
      <c r="T584" s="16"/>
      <c r="U584" s="16"/>
      <c r="V584" s="16"/>
    </row>
    <row r="585" spans="1:22" s="2" customFormat="1" ht="30" hidden="1" customHeight="1" x14ac:dyDescent="0.25">
      <c r="A585" s="98"/>
      <c r="B585" s="99" t="s">
        <v>521</v>
      </c>
      <c r="C585" s="109" t="s">
        <v>268</v>
      </c>
      <c r="D585" s="103">
        <f t="shared" si="126"/>
        <v>473</v>
      </c>
      <c r="E585" s="101"/>
      <c r="F585" s="110">
        <f>IFERROR(VALUE(F586+F587+F588+F589+F590+F591+F592),"Cek Kembali")</f>
        <v>48</v>
      </c>
      <c r="G585" s="927"/>
      <c r="H585" s="922"/>
      <c r="I585" s="923"/>
      <c r="J585" s="43"/>
      <c r="K585" s="31"/>
      <c r="L585" s="31"/>
      <c r="M585" s="16"/>
      <c r="N585" s="16"/>
      <c r="O585" s="16"/>
      <c r="P585" s="16"/>
      <c r="Q585" s="16"/>
      <c r="R585" s="16"/>
      <c r="S585" s="16"/>
      <c r="T585" s="16"/>
      <c r="U585" s="16"/>
      <c r="V585" s="16"/>
    </row>
    <row r="586" spans="1:22" s="2" customFormat="1" ht="30" hidden="1" customHeight="1" x14ac:dyDescent="0.25">
      <c r="A586" s="98"/>
      <c r="B586" s="99"/>
      <c r="C586" s="111" t="s">
        <v>269</v>
      </c>
      <c r="D586" s="103">
        <f t="shared" si="126"/>
        <v>474</v>
      </c>
      <c r="E586" s="101"/>
      <c r="F586" s="106">
        <f>IFERROR(VALUE(F225),"Cek Layanan SarKes")</f>
        <v>3</v>
      </c>
      <c r="G586" s="927"/>
      <c r="H586" s="922"/>
      <c r="I586" s="923"/>
      <c r="J586" s="43"/>
      <c r="K586" s="31"/>
      <c r="L586" s="43"/>
      <c r="M586" s="16"/>
      <c r="N586" s="16"/>
      <c r="O586" s="16"/>
      <c r="P586" s="16"/>
      <c r="Q586" s="16"/>
      <c r="R586" s="16"/>
      <c r="S586" s="16"/>
      <c r="T586" s="16"/>
      <c r="U586" s="16"/>
      <c r="V586" s="16"/>
    </row>
    <row r="587" spans="1:22" s="2" customFormat="1" ht="30" hidden="1" customHeight="1" x14ac:dyDescent="0.25">
      <c r="A587" s="98"/>
      <c r="B587" s="99"/>
      <c r="C587" s="108" t="s">
        <v>274</v>
      </c>
      <c r="D587" s="103">
        <f t="shared" si="126"/>
        <v>475</v>
      </c>
      <c r="E587" s="101"/>
      <c r="F587" s="106">
        <f>IFERROR(VALUE(F234+F238),"Cek FasKes Poskesdes/Polindes/Pustu")</f>
        <v>8</v>
      </c>
      <c r="G587" s="927"/>
      <c r="H587" s="922"/>
      <c r="I587" s="923"/>
      <c r="J587" s="43"/>
      <c r="K587" s="31"/>
      <c r="L587" s="43"/>
      <c r="M587" s="16"/>
      <c r="N587" s="16"/>
      <c r="O587" s="16"/>
      <c r="P587" s="16"/>
      <c r="Q587" s="16"/>
      <c r="R587" s="16"/>
      <c r="S587" s="16"/>
      <c r="T587" s="16"/>
      <c r="U587" s="16"/>
      <c r="V587" s="16"/>
    </row>
    <row r="588" spans="1:22" s="2" customFormat="1" ht="30" hidden="1" customHeight="1" x14ac:dyDescent="0.25">
      <c r="A588" s="98"/>
      <c r="B588" s="99"/>
      <c r="C588" s="108" t="s">
        <v>275</v>
      </c>
      <c r="D588" s="103">
        <f t="shared" si="126"/>
        <v>476</v>
      </c>
      <c r="E588" s="101"/>
      <c r="F588" s="106">
        <f>IFERROR(VALUE(F240+F241+F246),"Cek Aktivitas Posyandu")</f>
        <v>13</v>
      </c>
      <c r="G588" s="927"/>
      <c r="H588" s="922"/>
      <c r="I588" s="923"/>
      <c r="J588" s="43"/>
      <c r="K588" s="31"/>
      <c r="L588" s="43"/>
      <c r="M588" s="16"/>
      <c r="N588" s="16"/>
      <c r="O588" s="16"/>
      <c r="P588" s="16"/>
      <c r="Q588" s="16"/>
      <c r="R588" s="16"/>
      <c r="S588" s="16"/>
      <c r="T588" s="16"/>
      <c r="U588" s="16"/>
      <c r="V588" s="16"/>
    </row>
    <row r="589" spans="1:22" s="2" customFormat="1" ht="30" hidden="1" customHeight="1" x14ac:dyDescent="0.25">
      <c r="A589" s="98"/>
      <c r="B589" s="99"/>
      <c r="C589" s="108" t="s">
        <v>279</v>
      </c>
      <c r="D589" s="103">
        <f t="shared" si="126"/>
        <v>477</v>
      </c>
      <c r="E589" s="101"/>
      <c r="F589" s="106">
        <f>IFERROR(VALUE(F255+F263+F264+F265),"Cek Layanan Dokter")</f>
        <v>4</v>
      </c>
      <c r="G589" s="927"/>
      <c r="H589" s="922"/>
      <c r="I589" s="923"/>
      <c r="J589" s="680"/>
      <c r="K589" s="31"/>
      <c r="L589" s="31"/>
      <c r="M589" s="16"/>
      <c r="N589" s="16"/>
      <c r="O589" s="16"/>
      <c r="P589" s="16"/>
      <c r="Q589" s="16"/>
      <c r="R589" s="16"/>
      <c r="S589" s="16"/>
      <c r="T589" s="16"/>
      <c r="U589" s="16"/>
      <c r="V589" s="16"/>
    </row>
    <row r="590" spans="1:22" s="2" customFormat="1" ht="30" hidden="1" customHeight="1" x14ac:dyDescent="0.25">
      <c r="A590" s="98"/>
      <c r="B590" s="99"/>
      <c r="C590" s="108" t="s">
        <v>286</v>
      </c>
      <c r="D590" s="103">
        <f t="shared" si="126"/>
        <v>478</v>
      </c>
      <c r="E590" s="101"/>
      <c r="F590" s="106">
        <f>IFERROR(VALUE(F273+F280+F281+F282),"Cek Layanan Bidan")</f>
        <v>14</v>
      </c>
      <c r="G590" s="927"/>
      <c r="H590" s="922"/>
      <c r="I590" s="923"/>
      <c r="J590" s="43"/>
      <c r="K590" s="31"/>
      <c r="L590" s="43"/>
      <c r="M590" s="16"/>
      <c r="N590" s="16"/>
      <c r="O590" s="16"/>
      <c r="P590" s="16"/>
      <c r="Q590" s="16"/>
      <c r="R590" s="16"/>
      <c r="S590" s="16"/>
      <c r="T590" s="16"/>
      <c r="U590" s="16"/>
      <c r="V590" s="16"/>
    </row>
    <row r="591" spans="1:22" s="2" customFormat="1" ht="30" hidden="1" customHeight="1" x14ac:dyDescent="0.25">
      <c r="A591" s="98"/>
      <c r="B591" s="99"/>
      <c r="C591" s="108" t="s">
        <v>292</v>
      </c>
      <c r="D591" s="103">
        <f t="shared" si="126"/>
        <v>479</v>
      </c>
      <c r="E591" s="101"/>
      <c r="F591" s="106">
        <f>IFERROR(VALUE(F290+F292+F293+F294),"Cek Layanan NaKes Lainnya")</f>
        <v>4</v>
      </c>
      <c r="G591" s="927"/>
      <c r="H591" s="922"/>
      <c r="I591" s="923"/>
      <c r="J591" s="43"/>
      <c r="K591" s="31"/>
      <c r="L591" s="43"/>
      <c r="M591" s="16"/>
      <c r="N591" s="16"/>
      <c r="O591" s="16"/>
      <c r="P591" s="16"/>
      <c r="Q591" s="16"/>
      <c r="R591" s="16"/>
      <c r="S591" s="16"/>
      <c r="T591" s="16"/>
      <c r="U591" s="16"/>
      <c r="V591" s="16"/>
    </row>
    <row r="592" spans="1:22" s="2" customFormat="1" ht="30" hidden="1" customHeight="1" x14ac:dyDescent="0.25">
      <c r="A592" s="98"/>
      <c r="B592" s="99"/>
      <c r="C592" s="108" t="s">
        <v>297</v>
      </c>
      <c r="D592" s="103">
        <f t="shared" si="126"/>
        <v>480</v>
      </c>
      <c r="E592" s="101"/>
      <c r="F592" s="106">
        <f>IFERROR(F303+F304,"Cek JamKesNas")</f>
        <v>2</v>
      </c>
      <c r="G592" s="927"/>
      <c r="H592" s="922"/>
      <c r="I592" s="923"/>
      <c r="J592" s="43"/>
      <c r="K592" s="31"/>
      <c r="L592" s="43"/>
      <c r="M592" s="16"/>
      <c r="N592" s="16"/>
      <c r="O592" s="16"/>
      <c r="P592" s="16"/>
      <c r="Q592" s="16"/>
      <c r="R592" s="16"/>
      <c r="S592" s="16"/>
      <c r="T592" s="16"/>
      <c r="U592" s="16"/>
      <c r="V592" s="16"/>
    </row>
    <row r="593" spans="1:22" s="2" customFormat="1" ht="30" hidden="1" customHeight="1" x14ac:dyDescent="0.25">
      <c r="A593" s="98"/>
      <c r="B593" s="99" t="s">
        <v>522</v>
      </c>
      <c r="C593" s="109" t="s">
        <v>523</v>
      </c>
      <c r="D593" s="103">
        <f t="shared" si="126"/>
        <v>481</v>
      </c>
      <c r="E593" s="101"/>
      <c r="F593" s="110">
        <f>IFERROR(F594+F595,"Cek Kembali")</f>
        <v>19</v>
      </c>
      <c r="G593" s="927"/>
      <c r="H593" s="922"/>
      <c r="I593" s="923"/>
      <c r="J593" s="43"/>
      <c r="K593" s="31"/>
      <c r="L593" s="31"/>
      <c r="M593" s="16"/>
      <c r="N593" s="16"/>
      <c r="O593" s="16"/>
      <c r="P593" s="16"/>
      <c r="Q593" s="16"/>
      <c r="R593" s="16"/>
      <c r="S593" s="16"/>
      <c r="T593" s="16"/>
      <c r="U593" s="16"/>
      <c r="V593" s="16"/>
    </row>
    <row r="594" spans="1:22" s="2" customFormat="1" ht="30" hidden="1" customHeight="1" x14ac:dyDescent="0.25">
      <c r="A594" s="98"/>
      <c r="B594" s="99"/>
      <c r="C594" s="108" t="s">
        <v>307</v>
      </c>
      <c r="D594" s="103">
        <f t="shared" si="126"/>
        <v>482</v>
      </c>
      <c r="E594" s="101"/>
      <c r="F594" s="106">
        <f>IFERROR(F313+F315+F316+F318,"Cek Ketersediaan Air Minum")</f>
        <v>14</v>
      </c>
      <c r="G594" s="927"/>
      <c r="H594" s="922"/>
      <c r="I594" s="923"/>
      <c r="J594" s="43"/>
      <c r="K594" s="31"/>
      <c r="L594" s="43"/>
      <c r="M594" s="16"/>
      <c r="N594" s="16"/>
      <c r="O594" s="16"/>
      <c r="P594" s="16"/>
      <c r="Q594" s="16"/>
      <c r="R594" s="16"/>
      <c r="S594" s="16"/>
      <c r="T594" s="16"/>
      <c r="U594" s="16"/>
      <c r="V594" s="16"/>
    </row>
    <row r="595" spans="1:22" s="2" customFormat="1" ht="30" hidden="1" customHeight="1" x14ac:dyDescent="0.25">
      <c r="A595" s="98"/>
      <c r="B595" s="99"/>
      <c r="C595" s="108" t="s">
        <v>320</v>
      </c>
      <c r="D595" s="103">
        <f t="shared" si="126"/>
        <v>483</v>
      </c>
      <c r="E595" s="101"/>
      <c r="F595" s="106">
        <f>IFERROR(F321,"Cek Persentase RTLH")</f>
        <v>5</v>
      </c>
      <c r="G595" s="927" t="s">
        <v>601</v>
      </c>
      <c r="H595" s="922"/>
      <c r="I595" s="923"/>
      <c r="J595" s="43"/>
      <c r="K595" s="31"/>
      <c r="L595" s="43"/>
      <c r="M595" s="16"/>
      <c r="N595" s="16"/>
      <c r="O595" s="16"/>
      <c r="P595" s="16"/>
      <c r="Q595" s="16"/>
      <c r="R595" s="16"/>
      <c r="S595" s="16"/>
      <c r="T595" s="16"/>
      <c r="U595" s="16"/>
      <c r="V595" s="16"/>
    </row>
    <row r="596" spans="1:22" s="2" customFormat="1" ht="30" hidden="1" customHeight="1" x14ac:dyDescent="0.25">
      <c r="A596" s="98"/>
      <c r="B596" s="112">
        <v>2</v>
      </c>
      <c r="C596" s="113" t="s">
        <v>322</v>
      </c>
      <c r="D596" s="103">
        <f t="shared" si="126"/>
        <v>484</v>
      </c>
      <c r="E596" s="114"/>
      <c r="F596" s="115">
        <f>IFERROR(F597+F603,"Cek Kembali")</f>
        <v>47</v>
      </c>
      <c r="G596" s="927"/>
      <c r="H596" s="922"/>
      <c r="I596" s="923"/>
      <c r="J596" s="43"/>
      <c r="K596" s="31"/>
      <c r="L596" s="43"/>
      <c r="M596" s="16"/>
      <c r="N596" s="16"/>
      <c r="O596" s="16"/>
      <c r="P596" s="16"/>
      <c r="Q596" s="16"/>
      <c r="R596" s="16"/>
      <c r="S596" s="16"/>
      <c r="T596" s="16"/>
      <c r="U596" s="16"/>
      <c r="V596" s="16"/>
    </row>
    <row r="597" spans="1:22" s="2" customFormat="1" ht="30" hidden="1" customHeight="1" x14ac:dyDescent="0.25">
      <c r="A597" s="98"/>
      <c r="B597" s="112" t="s">
        <v>524</v>
      </c>
      <c r="C597" s="113" t="s">
        <v>324</v>
      </c>
      <c r="D597" s="103">
        <f t="shared" si="126"/>
        <v>485</v>
      </c>
      <c r="E597" s="114"/>
      <c r="F597" s="115">
        <f>IFERROR(F598+F599+F600+F601+F602,"Cek Kembali")</f>
        <v>37</v>
      </c>
      <c r="G597" s="927"/>
      <c r="H597" s="922"/>
      <c r="I597" s="923"/>
      <c r="J597" s="43"/>
      <c r="K597" s="31"/>
      <c r="L597" s="31"/>
      <c r="M597" s="16"/>
      <c r="N597" s="16"/>
      <c r="O597" s="16"/>
      <c r="P597" s="16"/>
      <c r="Q597" s="16"/>
      <c r="R597" s="16"/>
      <c r="S597" s="16"/>
      <c r="T597" s="16"/>
      <c r="U597" s="16"/>
      <c r="V597" s="16"/>
    </row>
    <row r="598" spans="1:22" s="2" customFormat="1" ht="30" hidden="1" customHeight="1" x14ac:dyDescent="0.25">
      <c r="A598" s="98"/>
      <c r="B598" s="112"/>
      <c r="C598" s="116" t="s">
        <v>325</v>
      </c>
      <c r="D598" s="103">
        <f t="shared" si="126"/>
        <v>486</v>
      </c>
      <c r="E598" s="114"/>
      <c r="F598" s="117">
        <f>IFERROR(F325+F327,"Cek Kearifan Sosial/ Budaya")</f>
        <v>10</v>
      </c>
      <c r="G598" s="927"/>
      <c r="H598" s="922"/>
      <c r="I598" s="923"/>
      <c r="J598" s="43"/>
      <c r="K598" s="31"/>
      <c r="L598" s="43"/>
      <c r="M598" s="16"/>
      <c r="N598" s="16"/>
      <c r="O598" s="16"/>
      <c r="P598" s="16"/>
      <c r="Q598" s="16"/>
      <c r="R598" s="16"/>
      <c r="S598" s="16"/>
      <c r="T598" s="16"/>
      <c r="U598" s="16"/>
      <c r="V598" s="16"/>
    </row>
    <row r="599" spans="1:22" s="2" customFormat="1" ht="30" hidden="1" customHeight="1" x14ac:dyDescent="0.25">
      <c r="A599" s="98"/>
      <c r="B599" s="112"/>
      <c r="C599" s="116" t="s">
        <v>330</v>
      </c>
      <c r="D599" s="103">
        <f t="shared" si="126"/>
        <v>487</v>
      </c>
      <c r="E599" s="114"/>
      <c r="F599" s="117">
        <f>IFERROR(F330+F335+F336,"Cek Frekuensi Gotong Royong")</f>
        <v>13</v>
      </c>
      <c r="G599" s="927"/>
      <c r="H599" s="922"/>
      <c r="I599" s="923"/>
      <c r="J599" s="43"/>
      <c r="K599" s="31"/>
      <c r="L599" s="43"/>
      <c r="M599" s="16"/>
      <c r="N599" s="16"/>
      <c r="O599" s="16"/>
      <c r="P599" s="16"/>
      <c r="Q599" s="16"/>
      <c r="R599" s="16"/>
      <c r="S599" s="16"/>
      <c r="T599" s="16"/>
      <c r="U599" s="16"/>
      <c r="V599" s="16"/>
    </row>
    <row r="600" spans="1:22" s="2" customFormat="1" ht="30" hidden="1" customHeight="1" x14ac:dyDescent="0.25">
      <c r="A600" s="98"/>
      <c r="B600" s="112"/>
      <c r="C600" s="116" t="s">
        <v>335</v>
      </c>
      <c r="D600" s="103">
        <f t="shared" si="126"/>
        <v>488</v>
      </c>
      <c r="E600" s="114"/>
      <c r="F600" s="117">
        <f>IFERROR(F347,"Cek Kegiatan Olahraga")</f>
        <v>2</v>
      </c>
      <c r="G600" s="927"/>
      <c r="H600" s="922"/>
      <c r="I600" s="923"/>
      <c r="J600" s="43"/>
      <c r="K600" s="31"/>
      <c r="L600" s="43"/>
      <c r="M600" s="16"/>
      <c r="N600" s="16"/>
      <c r="O600" s="16"/>
      <c r="P600" s="16"/>
      <c r="Q600" s="16"/>
      <c r="R600" s="16"/>
      <c r="S600" s="16"/>
      <c r="T600" s="16"/>
      <c r="U600" s="16"/>
      <c r="V600" s="16"/>
    </row>
    <row r="601" spans="1:22" s="2" customFormat="1" ht="30" hidden="1" customHeight="1" x14ac:dyDescent="0.25">
      <c r="A601" s="98"/>
      <c r="B601" s="112"/>
      <c r="C601" s="118" t="s">
        <v>338</v>
      </c>
      <c r="D601" s="103">
        <f t="shared" si="126"/>
        <v>489</v>
      </c>
      <c r="E601" s="114"/>
      <c r="F601" s="119">
        <f>IFERROR(F365+F366+F367+F368+F369,"Cek Mitigasi &amp; Penanganan Konflik Sosial")</f>
        <v>5</v>
      </c>
      <c r="G601" s="927"/>
      <c r="H601" s="922"/>
      <c r="I601" s="923"/>
      <c r="J601" s="43"/>
      <c r="K601" s="31"/>
      <c r="L601" s="31"/>
      <c r="M601" s="16"/>
      <c r="N601" s="16"/>
      <c r="O601" s="16"/>
      <c r="P601" s="16"/>
      <c r="Q601" s="16"/>
      <c r="R601" s="16"/>
      <c r="S601" s="16"/>
      <c r="T601" s="16"/>
      <c r="U601" s="16"/>
      <c r="V601" s="16"/>
    </row>
    <row r="602" spans="1:22" s="2" customFormat="1" ht="30" hidden="1" customHeight="1" x14ac:dyDescent="0.25">
      <c r="A602" s="98"/>
      <c r="B602" s="112"/>
      <c r="C602" s="116" t="s">
        <v>340</v>
      </c>
      <c r="D602" s="103">
        <f t="shared" si="126"/>
        <v>490</v>
      </c>
      <c r="E602" s="114"/>
      <c r="F602" s="117">
        <f>IFERROR(F371+F372,"Cek Satkamling")</f>
        <v>7</v>
      </c>
      <c r="G602" s="927"/>
      <c r="H602" s="922"/>
      <c r="I602" s="923"/>
      <c r="J602" s="43"/>
      <c r="K602" s="31"/>
      <c r="L602" s="43"/>
      <c r="M602" s="16"/>
      <c r="N602" s="16"/>
      <c r="O602" s="16"/>
      <c r="P602" s="16"/>
      <c r="Q602" s="16"/>
      <c r="R602" s="16"/>
      <c r="S602" s="16"/>
      <c r="T602" s="16"/>
      <c r="U602" s="16"/>
      <c r="V602" s="16"/>
    </row>
    <row r="603" spans="1:22" s="2" customFormat="1" ht="30" hidden="1" customHeight="1" x14ac:dyDescent="0.25">
      <c r="A603" s="98"/>
      <c r="B603" s="112" t="s">
        <v>525</v>
      </c>
      <c r="C603" s="113" t="s">
        <v>344</v>
      </c>
      <c r="D603" s="103">
        <f t="shared" si="126"/>
        <v>491</v>
      </c>
      <c r="E603" s="114"/>
      <c r="F603" s="115">
        <f>IFERROR(F604+F605+F606,"Cek Kembali")</f>
        <v>10</v>
      </c>
      <c r="G603" s="927"/>
      <c r="H603" s="922"/>
      <c r="I603" s="923"/>
      <c r="J603" s="43"/>
      <c r="K603" s="31"/>
      <c r="L603" s="43"/>
      <c r="M603" s="16"/>
      <c r="N603" s="16"/>
      <c r="O603" s="16"/>
      <c r="P603" s="16"/>
      <c r="Q603" s="16"/>
      <c r="R603" s="16"/>
      <c r="S603" s="16"/>
      <c r="T603" s="16"/>
      <c r="U603" s="16"/>
      <c r="V603" s="16"/>
    </row>
    <row r="604" spans="1:22" s="2" customFormat="1" ht="30" hidden="1" customHeight="1" x14ac:dyDescent="0.25">
      <c r="A604" s="98"/>
      <c r="B604" s="112"/>
      <c r="C604" s="116" t="s">
        <v>345</v>
      </c>
      <c r="D604" s="103">
        <f t="shared" si="126"/>
        <v>492</v>
      </c>
      <c r="E604" s="114"/>
      <c r="F604" s="117">
        <f>IFERROR(F375+F376,"Cek Taman Bacaan Desa")</f>
        <v>8</v>
      </c>
      <c r="G604" s="927"/>
      <c r="H604" s="922"/>
      <c r="I604" s="923"/>
      <c r="J604" s="43"/>
      <c r="K604" s="31"/>
      <c r="L604" s="43"/>
      <c r="M604" s="16"/>
      <c r="N604" s="16"/>
      <c r="O604" s="16"/>
      <c r="P604" s="16"/>
      <c r="Q604" s="16"/>
      <c r="R604" s="16"/>
      <c r="S604" s="16"/>
      <c r="T604" s="16"/>
      <c r="U604" s="16"/>
      <c r="V604" s="16"/>
    </row>
    <row r="605" spans="1:22" s="2" customFormat="1" ht="30" hidden="1" customHeight="1" x14ac:dyDescent="0.25">
      <c r="A605" s="98"/>
      <c r="B605" s="112"/>
      <c r="C605" s="116" t="s">
        <v>347</v>
      </c>
      <c r="D605" s="103">
        <f t="shared" si="126"/>
        <v>493</v>
      </c>
      <c r="E605" s="114"/>
      <c r="F605" s="117">
        <f>IFERROR(VALUE(F378),"Cek Fasilitas Olahraga")</f>
        <v>1</v>
      </c>
      <c r="G605" s="927"/>
      <c r="H605" s="922"/>
      <c r="I605" s="923"/>
      <c r="J605" s="43"/>
      <c r="K605" s="31"/>
      <c r="L605" s="31"/>
      <c r="M605" s="16"/>
      <c r="N605" s="16"/>
      <c r="O605" s="16"/>
      <c r="P605" s="16"/>
      <c r="Q605" s="16"/>
      <c r="R605" s="16"/>
      <c r="S605" s="16"/>
      <c r="T605" s="16"/>
      <c r="U605" s="16"/>
      <c r="V605" s="16"/>
    </row>
    <row r="606" spans="1:22" s="2" customFormat="1" ht="30" hidden="1" customHeight="1" x14ac:dyDescent="0.25">
      <c r="A606" s="98"/>
      <c r="B606" s="112"/>
      <c r="C606" s="116" t="s">
        <v>349</v>
      </c>
      <c r="D606" s="103">
        <f t="shared" si="126"/>
        <v>494</v>
      </c>
      <c r="E606" s="114"/>
      <c r="F606" s="117">
        <f>IFERROR(VALUE(F389),"Cek Keberadaan Ruang Terbuka")</f>
        <v>1</v>
      </c>
      <c r="G606" s="927"/>
      <c r="H606" s="922"/>
      <c r="I606" s="923"/>
      <c r="J606" s="43"/>
      <c r="K606" s="31"/>
      <c r="L606" s="43"/>
      <c r="M606" s="16"/>
      <c r="N606" s="16"/>
      <c r="O606" s="16"/>
      <c r="P606" s="16"/>
      <c r="Q606" s="16"/>
      <c r="R606" s="16"/>
      <c r="S606" s="16"/>
      <c r="T606" s="16"/>
      <c r="U606" s="16"/>
      <c r="V606" s="16"/>
    </row>
    <row r="607" spans="1:22" s="2" customFormat="1" ht="30" hidden="1" customHeight="1" x14ac:dyDescent="0.25">
      <c r="A607" s="98"/>
      <c r="B607" s="120">
        <v>3</v>
      </c>
      <c r="C607" s="121" t="s">
        <v>353</v>
      </c>
      <c r="D607" s="103">
        <f t="shared" si="126"/>
        <v>495</v>
      </c>
      <c r="E607" s="122"/>
      <c r="F607" s="123">
        <f>IFERROR(F608+F613,"Cek Kembali")</f>
        <v>83</v>
      </c>
      <c r="G607" s="927"/>
      <c r="H607" s="922"/>
      <c r="I607" s="923"/>
      <c r="J607" s="43"/>
      <c r="K607" s="31"/>
      <c r="L607" s="43"/>
      <c r="M607" s="16"/>
      <c r="N607" s="16"/>
      <c r="O607" s="16"/>
      <c r="P607" s="16"/>
      <c r="Q607" s="16"/>
      <c r="R607" s="16"/>
      <c r="S607" s="16"/>
      <c r="T607" s="16"/>
      <c r="U607" s="16"/>
      <c r="V607" s="16"/>
    </row>
    <row r="608" spans="1:22" s="2" customFormat="1" ht="30" hidden="1" customHeight="1" x14ac:dyDescent="0.25">
      <c r="A608" s="98"/>
      <c r="B608" s="120" t="s">
        <v>526</v>
      </c>
      <c r="C608" s="121" t="s">
        <v>355</v>
      </c>
      <c r="D608" s="103">
        <f t="shared" si="126"/>
        <v>496</v>
      </c>
      <c r="E608" s="122"/>
      <c r="F608" s="123">
        <f>IFERROR(F609+F610+F611+F612,"Cek Kembali")</f>
        <v>24</v>
      </c>
      <c r="G608" s="927"/>
      <c r="H608" s="922"/>
      <c r="I608" s="923"/>
      <c r="J608" s="43"/>
      <c r="K608" s="31"/>
      <c r="L608" s="43"/>
      <c r="M608" s="16"/>
      <c r="N608" s="16"/>
      <c r="O608" s="16"/>
      <c r="P608" s="16"/>
      <c r="Q608" s="16"/>
      <c r="R608" s="16"/>
      <c r="S608" s="16"/>
      <c r="T608" s="16"/>
      <c r="U608" s="16"/>
      <c r="V608" s="16"/>
    </row>
    <row r="609" spans="1:22" s="2" customFormat="1" ht="30" hidden="1" customHeight="1" x14ac:dyDescent="0.25">
      <c r="A609" s="98"/>
      <c r="B609" s="120"/>
      <c r="C609" s="124" t="s">
        <v>356</v>
      </c>
      <c r="D609" s="103">
        <f t="shared" si="126"/>
        <v>497</v>
      </c>
      <c r="E609" s="122"/>
      <c r="F609" s="125">
        <f>IFERROR(VALUE(F401+F402),"Cek Keragaman Aktivitas Ekonomi")</f>
        <v>6</v>
      </c>
      <c r="G609" s="927"/>
      <c r="H609" s="922"/>
      <c r="I609" s="923"/>
      <c r="J609" s="43"/>
      <c r="K609" s="31"/>
      <c r="L609" s="31"/>
      <c r="M609" s="16"/>
      <c r="N609" s="16"/>
      <c r="O609" s="16"/>
      <c r="P609" s="16"/>
      <c r="Q609" s="16"/>
      <c r="R609" s="16"/>
      <c r="S609" s="16"/>
      <c r="T609" s="16"/>
      <c r="U609" s="16"/>
      <c r="V609" s="16"/>
    </row>
    <row r="610" spans="1:22" s="2" customFormat="1" ht="30" hidden="1" customHeight="1" x14ac:dyDescent="0.25">
      <c r="A610" s="98"/>
      <c r="B610" s="120"/>
      <c r="C610" s="124" t="s">
        <v>358</v>
      </c>
      <c r="D610" s="103">
        <f t="shared" si="126"/>
        <v>498</v>
      </c>
      <c r="E610" s="122"/>
      <c r="F610" s="125">
        <f>IFERROR(VALUE(F404+F405+F406),"Cek Produk Unggulan Desa")</f>
        <v>11</v>
      </c>
      <c r="G610" s="927"/>
      <c r="H610" s="922"/>
      <c r="I610" s="923"/>
      <c r="J610" s="43"/>
      <c r="K610" s="31"/>
      <c r="L610" s="43"/>
      <c r="M610" s="16"/>
      <c r="N610" s="16"/>
      <c r="O610" s="16"/>
      <c r="P610" s="16"/>
      <c r="Q610" s="16"/>
      <c r="R610" s="16"/>
      <c r="S610" s="16"/>
      <c r="T610" s="16"/>
      <c r="U610" s="16"/>
      <c r="V610" s="16"/>
    </row>
    <row r="611" spans="1:22" s="2" customFormat="1" ht="30" hidden="1" customHeight="1" x14ac:dyDescent="0.25">
      <c r="A611" s="98"/>
      <c r="B611" s="120"/>
      <c r="C611" s="124" t="s">
        <v>362</v>
      </c>
      <c r="D611" s="103">
        <f t="shared" si="126"/>
        <v>499</v>
      </c>
      <c r="E611" s="122"/>
      <c r="F611" s="125">
        <f>IFERROR(VALUE(F408),"Cek Ekonomi Kreatif")</f>
        <v>5</v>
      </c>
      <c r="G611" s="927"/>
      <c r="H611" s="922"/>
      <c r="I611" s="923"/>
      <c r="J611" s="43"/>
      <c r="K611" s="31"/>
      <c r="L611" s="43"/>
      <c r="M611" s="16"/>
      <c r="N611" s="16"/>
      <c r="O611" s="16"/>
      <c r="P611" s="16"/>
      <c r="Q611" s="16"/>
      <c r="R611" s="16"/>
      <c r="S611" s="16"/>
      <c r="T611" s="16"/>
      <c r="U611" s="16"/>
      <c r="V611" s="16"/>
    </row>
    <row r="612" spans="1:22" s="2" customFormat="1" ht="30" hidden="1" customHeight="1" x14ac:dyDescent="0.25">
      <c r="A612" s="98"/>
      <c r="B612" s="120"/>
      <c r="C612" s="126" t="s">
        <v>119</v>
      </c>
      <c r="D612" s="103">
        <f t="shared" si="126"/>
        <v>500</v>
      </c>
      <c r="E612" s="122"/>
      <c r="F612" s="125">
        <f>IFERROR(VALUE(F411+F412),"Cek Kerjasama Desa")</f>
        <v>2</v>
      </c>
      <c r="G612" s="927"/>
      <c r="H612" s="922"/>
      <c r="I612" s="923"/>
      <c r="J612" s="43"/>
      <c r="K612" s="31"/>
      <c r="L612" s="43"/>
      <c r="M612" s="16"/>
      <c r="N612" s="16"/>
      <c r="O612" s="16"/>
      <c r="P612" s="16"/>
      <c r="Q612" s="16"/>
      <c r="R612" s="16"/>
      <c r="S612" s="16"/>
      <c r="T612" s="16"/>
      <c r="U612" s="16"/>
      <c r="V612" s="16"/>
    </row>
    <row r="613" spans="1:22" s="2" customFormat="1" ht="30" hidden="1" customHeight="1" x14ac:dyDescent="0.25">
      <c r="A613" s="98"/>
      <c r="B613" s="120" t="s">
        <v>527</v>
      </c>
      <c r="C613" s="121" t="s">
        <v>367</v>
      </c>
      <c r="D613" s="103">
        <f t="shared" si="126"/>
        <v>501</v>
      </c>
      <c r="E613" s="122"/>
      <c r="F613" s="123">
        <f>IFERROR(F614+F615+F616+F617+F618+F619+F620+F621,"Cek Kembali")</f>
        <v>59</v>
      </c>
      <c r="G613" s="927"/>
      <c r="H613" s="922"/>
      <c r="I613" s="923"/>
      <c r="J613" s="43"/>
      <c r="K613" s="31"/>
      <c r="L613" s="31"/>
      <c r="M613" s="16"/>
      <c r="N613" s="16"/>
      <c r="O613" s="16"/>
      <c r="P613" s="16"/>
      <c r="Q613" s="16"/>
      <c r="R613" s="16"/>
      <c r="S613" s="16"/>
      <c r="T613" s="16"/>
      <c r="U613" s="16"/>
      <c r="V613" s="16"/>
    </row>
    <row r="614" spans="1:22" s="2" customFormat="1" ht="30" hidden="1" customHeight="1" x14ac:dyDescent="0.25">
      <c r="A614" s="98"/>
      <c r="B614" s="120"/>
      <c r="C614" s="124" t="s">
        <v>368</v>
      </c>
      <c r="D614" s="103">
        <f t="shared" si="126"/>
        <v>502</v>
      </c>
      <c r="E614" s="122"/>
      <c r="F614" s="125">
        <f>IFERROR(F414+F415,"Cek Akses Pendidikan Non-Formal")</f>
        <v>2</v>
      </c>
      <c r="G614" s="927"/>
      <c r="H614" s="922"/>
      <c r="I614" s="923"/>
      <c r="J614" s="43"/>
      <c r="K614" s="31"/>
      <c r="L614" s="43"/>
      <c r="M614" s="16"/>
      <c r="N614" s="16"/>
      <c r="O614" s="16"/>
      <c r="P614" s="16"/>
      <c r="Q614" s="16"/>
      <c r="R614" s="16"/>
      <c r="S614" s="16"/>
      <c r="T614" s="16"/>
      <c r="U614" s="16"/>
      <c r="V614" s="16"/>
    </row>
    <row r="615" spans="1:22" s="2" customFormat="1" ht="30" hidden="1" customHeight="1" x14ac:dyDescent="0.25">
      <c r="A615" s="98"/>
      <c r="B615" s="120"/>
      <c r="C615" s="124" t="s">
        <v>372</v>
      </c>
      <c r="D615" s="103">
        <f t="shared" si="126"/>
        <v>503</v>
      </c>
      <c r="E615" s="122"/>
      <c r="F615" s="125">
        <f>IFERROR(VALUE(F419+F424),"Cek Pasar Rakyat")</f>
        <v>3</v>
      </c>
      <c r="G615" s="927"/>
      <c r="H615" s="922"/>
      <c r="I615" s="923"/>
      <c r="J615" s="43"/>
      <c r="K615" s="31"/>
      <c r="L615" s="43"/>
      <c r="M615" s="16"/>
      <c r="N615" s="16"/>
      <c r="O615" s="16"/>
      <c r="P615" s="16"/>
      <c r="Q615" s="16"/>
      <c r="R615" s="16"/>
      <c r="S615" s="16"/>
      <c r="T615" s="16"/>
      <c r="U615" s="16"/>
      <c r="V615" s="16"/>
    </row>
    <row r="616" spans="1:22" s="2" customFormat="1" ht="30" hidden="1" customHeight="1" x14ac:dyDescent="0.25">
      <c r="A616" s="98"/>
      <c r="B616" s="120"/>
      <c r="C616" s="126" t="s">
        <v>376</v>
      </c>
      <c r="D616" s="103">
        <f t="shared" si="126"/>
        <v>504</v>
      </c>
      <c r="E616" s="122"/>
      <c r="F616" s="125">
        <f>IFERROR(VALUE(F426+F430),"Cek Toko/Pertokoan")</f>
        <v>6</v>
      </c>
      <c r="G616" s="927"/>
      <c r="H616" s="922"/>
      <c r="I616" s="923"/>
      <c r="J616" s="43"/>
      <c r="K616" s="31"/>
      <c r="L616" s="43"/>
      <c r="M616" s="16"/>
      <c r="N616" s="16"/>
      <c r="O616" s="16"/>
      <c r="P616" s="16"/>
      <c r="Q616" s="16"/>
      <c r="R616" s="16"/>
      <c r="S616" s="16"/>
      <c r="T616" s="16"/>
      <c r="U616" s="16"/>
      <c r="V616" s="16"/>
    </row>
    <row r="617" spans="1:22" s="2" customFormat="1" ht="30" hidden="1" customHeight="1" x14ac:dyDescent="0.25">
      <c r="A617" s="98"/>
      <c r="B617" s="120"/>
      <c r="C617" s="124" t="s">
        <v>380</v>
      </c>
      <c r="D617" s="103">
        <f t="shared" si="126"/>
        <v>505</v>
      </c>
      <c r="E617" s="122"/>
      <c r="F617" s="125">
        <f>IFERROR(VALUE(F432+F436),"Cek Kedai/ Rumah Makan")</f>
        <v>5</v>
      </c>
      <c r="G617" s="927"/>
      <c r="H617" s="922"/>
      <c r="I617" s="923"/>
      <c r="J617" s="43"/>
      <c r="K617" s="31"/>
      <c r="L617" s="31"/>
      <c r="M617" s="16"/>
      <c r="N617" s="16"/>
      <c r="O617" s="16"/>
      <c r="P617" s="16"/>
      <c r="Q617" s="16"/>
      <c r="R617" s="16"/>
      <c r="S617" s="16"/>
      <c r="T617" s="16"/>
      <c r="U617" s="16"/>
      <c r="V617" s="16"/>
    </row>
    <row r="618" spans="1:22" s="2" customFormat="1" ht="30" hidden="1" customHeight="1" x14ac:dyDescent="0.25">
      <c r="A618" s="98"/>
      <c r="B618" s="120"/>
      <c r="C618" s="124" t="s">
        <v>385</v>
      </c>
      <c r="D618" s="103">
        <f t="shared" si="126"/>
        <v>506</v>
      </c>
      <c r="E618" s="122"/>
      <c r="F618" s="125">
        <f>IFERROR(VALUE(F438+F442),"Cek Penginapan")</f>
        <v>4</v>
      </c>
      <c r="G618" s="927"/>
      <c r="H618" s="922"/>
      <c r="I618" s="923"/>
      <c r="J618" s="43"/>
      <c r="K618" s="31"/>
      <c r="L618" s="43"/>
      <c r="M618" s="16"/>
      <c r="N618" s="16"/>
      <c r="O618" s="16"/>
      <c r="P618" s="16"/>
      <c r="Q618" s="16"/>
      <c r="R618" s="16"/>
      <c r="S618" s="16"/>
      <c r="T618" s="16"/>
      <c r="U618" s="16"/>
      <c r="V618" s="16"/>
    </row>
    <row r="619" spans="1:22" s="2" customFormat="1" ht="30" hidden="1" customHeight="1" x14ac:dyDescent="0.25">
      <c r="A619" s="98"/>
      <c r="B619" s="120"/>
      <c r="C619" s="124" t="s">
        <v>536</v>
      </c>
      <c r="D619" s="103">
        <f t="shared" si="126"/>
        <v>507</v>
      </c>
      <c r="E619" s="122"/>
      <c r="F619" s="125">
        <f>IFERROR(VALUE(F444+F448),"Cek Layanan Pos dan/ Logistik")</f>
        <v>7</v>
      </c>
      <c r="G619" s="927"/>
      <c r="H619" s="933"/>
      <c r="I619" s="923"/>
      <c r="J619" s="34"/>
      <c r="K619" s="31"/>
      <c r="L619" s="43"/>
      <c r="M619" s="16"/>
      <c r="N619" s="16"/>
      <c r="O619" s="16"/>
      <c r="P619" s="16"/>
      <c r="Q619" s="16"/>
      <c r="R619" s="16"/>
      <c r="S619" s="16"/>
      <c r="T619" s="16"/>
      <c r="U619" s="16"/>
      <c r="V619" s="16"/>
    </row>
    <row r="620" spans="1:22" s="2" customFormat="1" ht="30" hidden="1" customHeight="1" x14ac:dyDescent="0.25">
      <c r="A620" s="98"/>
      <c r="B620" s="120"/>
      <c r="C620" s="124" t="s">
        <v>388</v>
      </c>
      <c r="D620" s="103">
        <f t="shared" si="126"/>
        <v>508</v>
      </c>
      <c r="E620" s="122"/>
      <c r="F620" s="125">
        <f>IFERROR(VALUE(IF(F450&gt;F454,F450,F454)+IF(F453&gt;F457,F453,F457)+F458+F459+F460),"Cek Lembaga Ekonomi")</f>
        <v>13</v>
      </c>
      <c r="G620" s="927"/>
      <c r="H620" s="933"/>
      <c r="I620" s="923"/>
      <c r="J620" s="34"/>
      <c r="K620" s="31"/>
      <c r="L620" s="43"/>
      <c r="M620" s="16"/>
      <c r="N620" s="16"/>
      <c r="O620" s="16"/>
      <c r="P620" s="16"/>
      <c r="Q620" s="16"/>
      <c r="R620" s="16"/>
      <c r="S620" s="16"/>
      <c r="T620" s="16"/>
      <c r="U620" s="16"/>
      <c r="V620" s="16"/>
    </row>
    <row r="621" spans="1:22" s="2" customFormat="1" ht="30" hidden="1" customHeight="1" x14ac:dyDescent="0.25">
      <c r="A621" s="98"/>
      <c r="B621" s="120"/>
      <c r="C621" s="124" t="s">
        <v>390</v>
      </c>
      <c r="D621" s="103">
        <f t="shared" si="126"/>
        <v>509</v>
      </c>
      <c r="E621" s="122"/>
      <c r="F621" s="125">
        <f>IFERROR(VALUE(F462+F463+F466+F467+F468+F469),"Cek Layanan Keuangan")</f>
        <v>19</v>
      </c>
      <c r="G621" s="927"/>
      <c r="H621" s="933"/>
      <c r="I621" s="923"/>
      <c r="J621" s="34"/>
      <c r="K621" s="31"/>
      <c r="L621" s="31"/>
      <c r="M621" s="16"/>
      <c r="N621" s="16"/>
      <c r="O621" s="16"/>
      <c r="P621" s="16"/>
      <c r="Q621" s="16"/>
      <c r="R621" s="16"/>
      <c r="S621" s="16"/>
      <c r="T621" s="16"/>
      <c r="U621" s="16"/>
      <c r="V621" s="16"/>
    </row>
    <row r="622" spans="1:22" s="2" customFormat="1" ht="30" hidden="1" customHeight="1" x14ac:dyDescent="0.25">
      <c r="A622" s="98"/>
      <c r="B622" s="127">
        <v>4</v>
      </c>
      <c r="C622" s="128" t="s">
        <v>393</v>
      </c>
      <c r="D622" s="103">
        <f t="shared" si="126"/>
        <v>510</v>
      </c>
      <c r="E622" s="129"/>
      <c r="F622" s="130">
        <f>IFERROR(F623+F628,"Cek Kembali")</f>
        <v>60</v>
      </c>
      <c r="G622" s="927"/>
      <c r="H622" s="933"/>
      <c r="I622" s="923"/>
      <c r="J622" s="34"/>
      <c r="K622" s="31"/>
      <c r="L622" s="43"/>
      <c r="M622" s="16"/>
      <c r="N622" s="16"/>
      <c r="O622" s="16"/>
      <c r="P622" s="16"/>
      <c r="Q622" s="16"/>
      <c r="R622" s="16"/>
      <c r="S622" s="16"/>
      <c r="T622" s="16"/>
      <c r="U622" s="16"/>
      <c r="V622" s="16"/>
    </row>
    <row r="623" spans="1:22" s="2" customFormat="1" ht="30" hidden="1" customHeight="1" x14ac:dyDescent="0.25">
      <c r="A623" s="98"/>
      <c r="B623" s="127" t="s">
        <v>528</v>
      </c>
      <c r="C623" s="128" t="s">
        <v>395</v>
      </c>
      <c r="D623" s="103">
        <f t="shared" si="126"/>
        <v>511</v>
      </c>
      <c r="E623" s="129"/>
      <c r="F623" s="130">
        <f>IFERROR(VALUE(F624+F625+F626+F627),"Cek Kembali")</f>
        <v>43</v>
      </c>
      <c r="G623" s="927"/>
      <c r="H623" s="933"/>
      <c r="I623" s="923"/>
      <c r="J623" s="34"/>
      <c r="K623" s="31"/>
      <c r="L623" s="43"/>
      <c r="M623" s="16"/>
      <c r="N623" s="16"/>
      <c r="O623" s="16"/>
      <c r="P623" s="16"/>
      <c r="Q623" s="16"/>
      <c r="R623" s="16"/>
      <c r="S623" s="16"/>
      <c r="T623" s="16"/>
      <c r="U623" s="16"/>
      <c r="V623" s="16"/>
    </row>
    <row r="624" spans="1:22" s="2" customFormat="1" ht="30" hidden="1" customHeight="1" x14ac:dyDescent="0.25">
      <c r="A624" s="98"/>
      <c r="B624" s="127"/>
      <c r="C624" s="131" t="s">
        <v>396</v>
      </c>
      <c r="D624" s="103">
        <f t="shared" si="126"/>
        <v>512</v>
      </c>
      <c r="E624" s="129"/>
      <c r="F624" s="132">
        <f>IFERROR(VALUE(F474+F476+F477+F478),"Cek Kearifan Lingkungan")</f>
        <v>8</v>
      </c>
      <c r="G624" s="927"/>
      <c r="H624" s="933"/>
      <c r="I624" s="923"/>
      <c r="J624" s="34"/>
      <c r="K624" s="31"/>
      <c r="L624" s="43"/>
      <c r="M624" s="16"/>
      <c r="N624" s="16"/>
      <c r="O624" s="16"/>
      <c r="P624" s="16"/>
      <c r="Q624" s="16"/>
      <c r="R624" s="16"/>
      <c r="S624" s="16"/>
      <c r="T624" s="16"/>
      <c r="U624" s="16"/>
      <c r="V624" s="16"/>
    </row>
    <row r="625" spans="1:22" s="2" customFormat="1" ht="30" hidden="1" customHeight="1" x14ac:dyDescent="0.25">
      <c r="A625" s="98"/>
      <c r="B625" s="127"/>
      <c r="C625" s="131" t="s">
        <v>403</v>
      </c>
      <c r="D625" s="103">
        <f t="shared" si="126"/>
        <v>513</v>
      </c>
      <c r="E625" s="129"/>
      <c r="F625" s="132">
        <f>IFERROR(VALUE(F481+F484+F486),"Cek Sistem Pengelolaan Sampah")</f>
        <v>7</v>
      </c>
      <c r="G625" s="927"/>
      <c r="H625" s="933"/>
      <c r="I625" s="923"/>
      <c r="J625" s="34"/>
      <c r="K625" s="31"/>
      <c r="L625" s="31"/>
      <c r="M625" s="16"/>
      <c r="N625" s="16"/>
      <c r="O625" s="16"/>
      <c r="P625" s="16"/>
      <c r="Q625" s="16"/>
      <c r="R625" s="16"/>
      <c r="S625" s="16"/>
      <c r="T625" s="16"/>
      <c r="U625" s="16"/>
      <c r="V625" s="16"/>
    </row>
    <row r="626" spans="1:22" s="2" customFormat="1" ht="30" hidden="1" customHeight="1" x14ac:dyDescent="0.25">
      <c r="A626" s="98"/>
      <c r="B626" s="127"/>
      <c r="C626" s="131" t="s">
        <v>409</v>
      </c>
      <c r="D626" s="103">
        <f t="shared" si="126"/>
        <v>514</v>
      </c>
      <c r="E626" s="129"/>
      <c r="F626" s="132">
        <f>IFERROR(VALUE(F493),"Cek Tingkat Pencemaran Lingkungan")</f>
        <v>5</v>
      </c>
      <c r="G626" s="927"/>
      <c r="H626" s="922"/>
      <c r="I626" s="923"/>
      <c r="J626" s="43"/>
      <c r="K626" s="31"/>
      <c r="L626" s="43"/>
      <c r="M626" s="16"/>
      <c r="N626" s="16"/>
      <c r="O626" s="16"/>
      <c r="P626" s="16"/>
      <c r="Q626" s="16"/>
      <c r="R626" s="16"/>
      <c r="S626" s="16"/>
      <c r="T626" s="16"/>
      <c r="U626" s="16"/>
      <c r="V626" s="16"/>
    </row>
    <row r="627" spans="1:22" s="2" customFormat="1" ht="30" hidden="1" customHeight="1" x14ac:dyDescent="0.25">
      <c r="A627" s="98"/>
      <c r="B627" s="127"/>
      <c r="C627" s="131" t="s">
        <v>302</v>
      </c>
      <c r="D627" s="103">
        <f t="shared" si="126"/>
        <v>515</v>
      </c>
      <c r="E627" s="129"/>
      <c r="F627" s="133">
        <f>IFERROR(VALUE(F497+F500+F501+F502+F498),"Cek Sistem Pembuangan Limbah RT")</f>
        <v>23</v>
      </c>
      <c r="G627" s="927"/>
      <c r="H627" s="922"/>
      <c r="I627" s="923"/>
      <c r="J627" s="43"/>
      <c r="K627" s="31"/>
      <c r="L627" s="43"/>
      <c r="M627" s="16"/>
      <c r="N627" s="16"/>
      <c r="O627" s="16"/>
      <c r="P627" s="16"/>
      <c r="Q627" s="16"/>
      <c r="R627" s="16"/>
      <c r="S627" s="16"/>
      <c r="T627" s="16"/>
      <c r="U627" s="16"/>
      <c r="V627" s="16"/>
    </row>
    <row r="628" spans="1:22" s="2" customFormat="1" ht="30" hidden="1" customHeight="1" x14ac:dyDescent="0.25">
      <c r="A628" s="98"/>
      <c r="B628" s="127" t="s">
        <v>529</v>
      </c>
      <c r="C628" s="128" t="s">
        <v>416</v>
      </c>
      <c r="D628" s="103">
        <f t="shared" si="126"/>
        <v>516</v>
      </c>
      <c r="E628" s="129"/>
      <c r="F628" s="130">
        <f>IFERROR(VALUE(F629),"Cek Kembali")</f>
        <v>17</v>
      </c>
      <c r="G628" s="927"/>
      <c r="H628" s="922"/>
      <c r="I628" s="923"/>
      <c r="J628" s="43"/>
      <c r="K628" s="31"/>
      <c r="L628" s="43"/>
      <c r="M628" s="16"/>
      <c r="N628" s="16"/>
      <c r="O628" s="16"/>
      <c r="P628" s="16"/>
      <c r="Q628" s="16"/>
      <c r="R628" s="16"/>
      <c r="S628" s="16"/>
      <c r="T628" s="16"/>
      <c r="U628" s="16"/>
      <c r="V628" s="16"/>
    </row>
    <row r="629" spans="1:22" s="2" customFormat="1" ht="30" hidden="1" customHeight="1" x14ac:dyDescent="0.25">
      <c r="A629" s="98"/>
      <c r="B629" s="127"/>
      <c r="C629" s="131" t="s">
        <v>417</v>
      </c>
      <c r="D629" s="103">
        <f t="shared" si="126"/>
        <v>517</v>
      </c>
      <c r="E629" s="129"/>
      <c r="F629" s="132">
        <f>IFERROR(VALUE(F519+F523+F516+F524+F525),"Cek Penanggulangan Bencana")</f>
        <v>17</v>
      </c>
      <c r="G629" s="927"/>
      <c r="H629" s="922"/>
      <c r="I629" s="923"/>
      <c r="J629" s="43"/>
      <c r="K629" s="31"/>
      <c r="L629" s="31"/>
      <c r="M629" s="16"/>
      <c r="N629" s="16"/>
      <c r="O629" s="16"/>
      <c r="P629" s="16"/>
      <c r="Q629" s="16"/>
      <c r="R629" s="16"/>
      <c r="S629" s="16"/>
      <c r="T629" s="16"/>
      <c r="U629" s="16"/>
      <c r="V629" s="16"/>
    </row>
    <row r="630" spans="1:22" s="2" customFormat="1" ht="30" hidden="1" customHeight="1" x14ac:dyDescent="0.25">
      <c r="A630" s="98"/>
      <c r="B630" s="99">
        <v>5</v>
      </c>
      <c r="C630" s="134" t="s">
        <v>426</v>
      </c>
      <c r="D630" s="103">
        <f t="shared" si="126"/>
        <v>518</v>
      </c>
      <c r="E630" s="101"/>
      <c r="F630" s="135">
        <f>IFERROR(VALUE(F631+F634),"Cek Kembali")</f>
        <v>38</v>
      </c>
      <c r="G630" s="927"/>
      <c r="H630" s="922"/>
      <c r="I630" s="923"/>
      <c r="J630" s="43"/>
      <c r="K630" s="31"/>
      <c r="L630" s="43"/>
      <c r="M630" s="16"/>
      <c r="N630" s="16"/>
      <c r="O630" s="16"/>
      <c r="P630" s="16"/>
      <c r="Q630" s="16"/>
      <c r="R630" s="16"/>
      <c r="S630" s="16"/>
      <c r="T630" s="16"/>
      <c r="U630" s="16"/>
      <c r="V630" s="16"/>
    </row>
    <row r="631" spans="1:22" s="2" customFormat="1" ht="30" hidden="1" customHeight="1" x14ac:dyDescent="0.25">
      <c r="A631" s="98"/>
      <c r="B631" s="99" t="s">
        <v>530</v>
      </c>
      <c r="C631" s="134" t="s">
        <v>428</v>
      </c>
      <c r="D631" s="103">
        <f t="shared" si="126"/>
        <v>519</v>
      </c>
      <c r="E631" s="101"/>
      <c r="F631" s="135">
        <f>IFERROR(VALUE(F632+F633),"Cek Kembali")</f>
        <v>19</v>
      </c>
      <c r="G631" s="927"/>
      <c r="H631" s="922"/>
      <c r="I631" s="923"/>
      <c r="J631" s="43"/>
      <c r="K631" s="31"/>
      <c r="L631" s="43"/>
      <c r="M631" s="16"/>
      <c r="N631" s="16"/>
      <c r="O631" s="16"/>
      <c r="P631" s="16"/>
      <c r="Q631" s="16"/>
      <c r="R631" s="16"/>
      <c r="S631" s="16"/>
      <c r="T631" s="16"/>
      <c r="U631" s="16"/>
      <c r="V631" s="16"/>
    </row>
    <row r="632" spans="1:22" s="2" customFormat="1" ht="30" hidden="1" customHeight="1" x14ac:dyDescent="0.25">
      <c r="A632" s="98"/>
      <c r="B632" s="99"/>
      <c r="C632" s="136" t="s">
        <v>429</v>
      </c>
      <c r="D632" s="103">
        <f t="shared" si="126"/>
        <v>520</v>
      </c>
      <c r="E632" s="101"/>
      <c r="F632" s="137">
        <f>IFERROR(VALUE(F529+F535),"Cek Kondisi Jalan di Desa")</f>
        <v>10</v>
      </c>
      <c r="G632" s="927"/>
      <c r="H632" s="922"/>
      <c r="I632" s="923"/>
      <c r="J632" s="43"/>
      <c r="K632" s="31"/>
      <c r="L632" s="43"/>
      <c r="M632" s="16"/>
      <c r="N632" s="16"/>
      <c r="O632" s="16"/>
      <c r="P632" s="16"/>
      <c r="Q632" s="16"/>
      <c r="R632" s="16"/>
      <c r="S632" s="16"/>
      <c r="T632" s="16"/>
      <c r="U632" s="16"/>
      <c r="V632" s="16"/>
    </row>
    <row r="633" spans="1:22" s="2" customFormat="1" ht="30" hidden="1" customHeight="1" x14ac:dyDescent="0.25">
      <c r="A633" s="98"/>
      <c r="B633" s="99"/>
      <c r="C633" s="136" t="s">
        <v>432</v>
      </c>
      <c r="D633" s="103">
        <f t="shared" si="126"/>
        <v>521</v>
      </c>
      <c r="E633" s="101"/>
      <c r="F633" s="137">
        <f>IFERROR(VALUE(F537+F538),"Cek Kondisi PJU di Desa")</f>
        <v>9</v>
      </c>
      <c r="G633" s="927"/>
      <c r="H633" s="922"/>
      <c r="I633" s="923"/>
      <c r="J633" s="43"/>
      <c r="K633" s="31"/>
      <c r="L633" s="31"/>
      <c r="M633" s="16"/>
      <c r="N633" s="16"/>
      <c r="O633" s="16"/>
      <c r="P633" s="16"/>
      <c r="Q633" s="16"/>
      <c r="R633" s="16"/>
      <c r="S633" s="16"/>
      <c r="T633" s="16"/>
      <c r="U633" s="16"/>
      <c r="V633" s="16"/>
    </row>
    <row r="634" spans="1:22" s="2" customFormat="1" ht="30" hidden="1" customHeight="1" x14ac:dyDescent="0.25">
      <c r="A634" s="98"/>
      <c r="B634" s="99" t="s">
        <v>531</v>
      </c>
      <c r="C634" s="134" t="s">
        <v>436</v>
      </c>
      <c r="D634" s="103">
        <f t="shared" si="126"/>
        <v>522</v>
      </c>
      <c r="E634" s="101"/>
      <c r="F634" s="135">
        <f>IFERROR(VALUE(F635+F636+F637),"Cek Kembali")</f>
        <v>19</v>
      </c>
      <c r="G634" s="927"/>
      <c r="H634" s="922"/>
      <c r="I634" s="923"/>
      <c r="J634" s="43"/>
      <c r="K634" s="31"/>
      <c r="L634" s="43"/>
      <c r="M634" s="16"/>
      <c r="N634" s="16"/>
      <c r="O634" s="16"/>
      <c r="P634" s="16"/>
      <c r="Q634" s="16"/>
      <c r="R634" s="16"/>
      <c r="S634" s="16"/>
      <c r="T634" s="16"/>
      <c r="U634" s="16"/>
      <c r="V634" s="16"/>
    </row>
    <row r="635" spans="1:22" s="2" customFormat="1" ht="30" hidden="1" customHeight="1" x14ac:dyDescent="0.25">
      <c r="A635" s="98"/>
      <c r="B635" s="99"/>
      <c r="C635" s="136" t="s">
        <v>437</v>
      </c>
      <c r="D635" s="103">
        <f t="shared" si="126"/>
        <v>523</v>
      </c>
      <c r="E635" s="101"/>
      <c r="F635" s="137">
        <f>IFERROR(VALUE(F541+F542),"Cek Keberadaan Angkutan Perdesaan")</f>
        <v>2</v>
      </c>
      <c r="G635" s="927"/>
      <c r="H635" s="922"/>
      <c r="I635" s="923"/>
      <c r="J635" s="43"/>
      <c r="K635" s="31"/>
      <c r="L635" s="43"/>
      <c r="M635" s="16"/>
      <c r="N635" s="16"/>
      <c r="O635" s="16"/>
      <c r="P635" s="16"/>
      <c r="Q635" s="16"/>
      <c r="R635" s="16"/>
      <c r="S635" s="16"/>
      <c r="T635" s="16"/>
      <c r="U635" s="16"/>
      <c r="V635" s="16"/>
    </row>
    <row r="636" spans="1:22" s="2" customFormat="1" ht="30" hidden="1" customHeight="1" x14ac:dyDescent="0.25">
      <c r="A636" s="98"/>
      <c r="B636" s="99"/>
      <c r="C636" s="136" t="s">
        <v>85</v>
      </c>
      <c r="D636" s="103">
        <f t="shared" si="126"/>
        <v>524</v>
      </c>
      <c r="E636" s="101"/>
      <c r="F636" s="106">
        <f>IFERROR(VALUE(F568+F567),"Cek Akses Listrik")</f>
        <v>10</v>
      </c>
      <c r="G636" s="927"/>
      <c r="H636" s="922"/>
      <c r="I636" s="923"/>
      <c r="J636" s="43"/>
      <c r="K636" s="31"/>
      <c r="L636" s="43"/>
      <c r="M636" s="16"/>
      <c r="N636" s="16"/>
      <c r="O636" s="16"/>
      <c r="P636" s="16"/>
      <c r="Q636" s="16"/>
      <c r="R636" s="16"/>
      <c r="S636" s="16"/>
      <c r="T636" s="16"/>
      <c r="U636" s="16"/>
      <c r="V636" s="16"/>
    </row>
    <row r="637" spans="1:22" s="2" customFormat="1" ht="30" hidden="1" customHeight="1" x14ac:dyDescent="0.25">
      <c r="A637" s="98"/>
      <c r="B637" s="99"/>
      <c r="C637" s="136" t="s">
        <v>317</v>
      </c>
      <c r="D637" s="103">
        <f t="shared" si="126"/>
        <v>525</v>
      </c>
      <c r="E637" s="101"/>
      <c r="F637" s="138">
        <f>IFERROR(VALUE(F570+F571),"Cek Layanan Telekomunikasi")</f>
        <v>7</v>
      </c>
      <c r="G637" s="927"/>
      <c r="H637" s="922"/>
      <c r="I637" s="923"/>
      <c r="J637" s="43"/>
      <c r="K637" s="31"/>
      <c r="L637" s="31"/>
      <c r="M637" s="16"/>
      <c r="N637" s="16"/>
      <c r="O637" s="16"/>
      <c r="P637" s="16"/>
      <c r="Q637" s="16"/>
      <c r="R637" s="16"/>
      <c r="S637" s="16"/>
      <c r="T637" s="16"/>
      <c r="U637" s="16"/>
      <c r="V637" s="16"/>
    </row>
    <row r="638" spans="1:22" s="2" customFormat="1" ht="30" hidden="1" customHeight="1" x14ac:dyDescent="0.25">
      <c r="A638" s="98"/>
      <c r="B638" s="139">
        <v>6</v>
      </c>
      <c r="C638" s="140" t="s">
        <v>441</v>
      </c>
      <c r="D638" s="103">
        <f t="shared" si="126"/>
        <v>526</v>
      </c>
      <c r="E638" s="141"/>
      <c r="F638" s="142">
        <f>IFERROR(VALUE(F639+F643),"Cek Kembali")</f>
        <v>43</v>
      </c>
      <c r="G638" s="927"/>
      <c r="H638" s="922"/>
      <c r="I638" s="923"/>
      <c r="J638" s="43"/>
      <c r="K638" s="31"/>
      <c r="L638" s="43"/>
      <c r="M638" s="16"/>
      <c r="N638" s="16"/>
      <c r="O638" s="16"/>
      <c r="P638" s="16"/>
      <c r="Q638" s="16"/>
      <c r="R638" s="16"/>
      <c r="S638" s="16"/>
      <c r="T638" s="16"/>
      <c r="U638" s="16"/>
      <c r="V638" s="16"/>
    </row>
    <row r="639" spans="1:22" s="2" customFormat="1" ht="30" hidden="1" customHeight="1" x14ac:dyDescent="0.25">
      <c r="A639" s="98"/>
      <c r="B639" s="139" t="s">
        <v>532</v>
      </c>
      <c r="C639" s="140" t="s">
        <v>442</v>
      </c>
      <c r="D639" s="103">
        <f t="shared" si="126"/>
        <v>527</v>
      </c>
      <c r="E639" s="141"/>
      <c r="F639" s="142">
        <f>IFERROR(VALUE(F640+F641+F642),"Cek Kembali")</f>
        <v>15</v>
      </c>
      <c r="G639" s="927"/>
      <c r="H639" s="922"/>
      <c r="I639" s="923"/>
      <c r="J639" s="43"/>
      <c r="K639" s="31"/>
      <c r="L639" s="43"/>
      <c r="M639" s="16"/>
      <c r="N639" s="16"/>
      <c r="O639" s="16"/>
      <c r="P639" s="16"/>
      <c r="Q639" s="16"/>
      <c r="R639" s="16"/>
      <c r="S639" s="16"/>
      <c r="T639" s="16"/>
      <c r="U639" s="16"/>
      <c r="V639" s="16"/>
    </row>
    <row r="640" spans="1:22" s="2" customFormat="1" ht="30" hidden="1" customHeight="1" x14ac:dyDescent="0.25">
      <c r="A640" s="98"/>
      <c r="B640" s="139"/>
      <c r="C640" s="143" t="s">
        <v>443</v>
      </c>
      <c r="D640" s="103">
        <f t="shared" si="126"/>
        <v>528</v>
      </c>
      <c r="E640" s="141"/>
      <c r="F640" s="144">
        <f>IFERROR(VALUE(F50),"Cek Pelayanan &amp; Administrasi Desa")</f>
        <v>5</v>
      </c>
      <c r="G640" s="927"/>
      <c r="H640" s="922"/>
      <c r="I640" s="923"/>
      <c r="J640" s="43"/>
      <c r="K640" s="31"/>
      <c r="L640" s="43"/>
      <c r="M640" s="16"/>
      <c r="N640" s="16"/>
      <c r="O640" s="16"/>
      <c r="P640" s="16"/>
      <c r="Q640" s="16"/>
      <c r="R640" s="16"/>
      <c r="S640" s="16"/>
      <c r="T640" s="16"/>
      <c r="U640" s="16"/>
      <c r="V640" s="16"/>
    </row>
    <row r="641" spans="1:22" s="2" customFormat="1" ht="30" hidden="1" customHeight="1" x14ac:dyDescent="0.25">
      <c r="A641" s="98"/>
      <c r="B641" s="139"/>
      <c r="C641" s="143" t="s">
        <v>486</v>
      </c>
      <c r="D641" s="103">
        <f t="shared" si="126"/>
        <v>529</v>
      </c>
      <c r="E641" s="141"/>
      <c r="F641" s="144">
        <f>IFERROR(VALUE(F99+F100+F101+F102),"Cek Pemanfaatan Teknologi Pelayanan Desa (SPBE)")</f>
        <v>4</v>
      </c>
      <c r="G641" s="927"/>
      <c r="H641" s="922"/>
      <c r="I641" s="923"/>
      <c r="J641" s="43"/>
      <c r="K641" s="31"/>
      <c r="L641" s="31"/>
      <c r="M641" s="16"/>
      <c r="N641" s="16"/>
      <c r="O641" s="16"/>
      <c r="P641" s="16"/>
      <c r="Q641" s="16"/>
      <c r="R641" s="16"/>
      <c r="S641" s="16"/>
      <c r="T641" s="16"/>
      <c r="U641" s="16"/>
      <c r="V641" s="16"/>
    </row>
    <row r="642" spans="1:22" s="2" customFormat="1" ht="30" hidden="1" customHeight="1" x14ac:dyDescent="0.25">
      <c r="A642" s="98"/>
      <c r="B642" s="139"/>
      <c r="C642" s="143" t="s">
        <v>492</v>
      </c>
      <c r="D642" s="103">
        <f t="shared" si="126"/>
        <v>530</v>
      </c>
      <c r="E642" s="141"/>
      <c r="F642" s="144">
        <f>IFERROR(VALUE(F105+F109),"Cek Musyawarah Desa")</f>
        <v>6</v>
      </c>
      <c r="G642" s="927"/>
      <c r="H642" s="922"/>
      <c r="I642" s="923"/>
      <c r="J642" s="43"/>
      <c r="K642" s="31"/>
      <c r="L642" s="43"/>
      <c r="M642" s="16"/>
      <c r="N642" s="16"/>
      <c r="O642" s="16"/>
      <c r="P642" s="16"/>
      <c r="Q642" s="16"/>
      <c r="R642" s="16"/>
      <c r="S642" s="16"/>
      <c r="T642" s="16"/>
      <c r="U642" s="16"/>
      <c r="V642" s="16"/>
    </row>
    <row r="643" spans="1:22" s="2" customFormat="1" ht="30" hidden="1" customHeight="1" x14ac:dyDescent="0.25">
      <c r="A643" s="98"/>
      <c r="B643" s="139" t="s">
        <v>533</v>
      </c>
      <c r="C643" s="140" t="s">
        <v>500</v>
      </c>
      <c r="D643" s="103">
        <f t="shared" si="126"/>
        <v>531</v>
      </c>
      <c r="E643" s="141"/>
      <c r="F643" s="142">
        <f>IFERROR(VALUE(F644+F645),"Cek Kembali")</f>
        <v>28</v>
      </c>
      <c r="G643" s="927"/>
      <c r="H643" s="922"/>
      <c r="I643" s="923"/>
      <c r="J643" s="680"/>
      <c r="K643" s="31"/>
      <c r="L643" s="43"/>
      <c r="M643" s="16"/>
      <c r="N643" s="16"/>
      <c r="O643" s="16"/>
      <c r="P643" s="16"/>
      <c r="Q643" s="16"/>
      <c r="R643" s="16"/>
      <c r="S643" s="16"/>
      <c r="T643" s="16"/>
      <c r="U643" s="16"/>
      <c r="V643" s="16"/>
    </row>
    <row r="644" spans="1:22" s="2" customFormat="1" ht="30" hidden="1" customHeight="1" x14ac:dyDescent="0.25">
      <c r="A644" s="98"/>
      <c r="B644" s="139"/>
      <c r="C644" s="145" t="s">
        <v>501</v>
      </c>
      <c r="D644" s="103">
        <f t="shared" si="126"/>
        <v>532</v>
      </c>
      <c r="E644" s="141"/>
      <c r="F644" s="146">
        <f>IFERROR(VALUE(F136+F144+F145),"Cek PADes dan Dana Desa")</f>
        <v>11</v>
      </c>
      <c r="G644" s="927"/>
      <c r="H644" s="922"/>
      <c r="I644" s="923"/>
      <c r="J644" s="43"/>
      <c r="K644" s="31"/>
      <c r="L644" s="43"/>
      <c r="M644" s="16"/>
      <c r="N644" s="16"/>
      <c r="O644" s="16"/>
      <c r="P644" s="16"/>
      <c r="Q644" s="16"/>
      <c r="R644" s="16"/>
      <c r="S644" s="16"/>
      <c r="T644" s="16"/>
      <c r="U644" s="16"/>
      <c r="V644" s="16"/>
    </row>
    <row r="645" spans="1:22" s="2" customFormat="1" ht="30" hidden="1" customHeight="1" x14ac:dyDescent="0.25">
      <c r="A645" s="98"/>
      <c r="B645" s="139"/>
      <c r="C645" s="143" t="s">
        <v>508</v>
      </c>
      <c r="D645" s="103">
        <f t="shared" ref="D645:D646" si="127">D644+1</f>
        <v>533</v>
      </c>
      <c r="E645" s="141"/>
      <c r="F645" s="147">
        <f>IFERROR(VALUE(F151+F152+F153+F154+F155+F156),"Cek Jumlah Aset Desa")</f>
        <v>17</v>
      </c>
      <c r="G645" s="927"/>
      <c r="H645" s="922"/>
      <c r="I645" s="923"/>
      <c r="J645" s="43"/>
      <c r="K645" s="31"/>
      <c r="L645" s="31"/>
      <c r="M645" s="16"/>
      <c r="N645" s="16"/>
      <c r="O645" s="16"/>
      <c r="P645" s="16"/>
      <c r="Q645" s="16"/>
      <c r="R645" s="16"/>
      <c r="S645" s="16"/>
      <c r="T645" s="16"/>
      <c r="U645" s="16"/>
      <c r="V645" s="16"/>
    </row>
    <row r="646" spans="1:22" s="2" customFormat="1" ht="30" hidden="1" customHeight="1" x14ac:dyDescent="0.25">
      <c r="A646" s="98"/>
      <c r="B646" s="148"/>
      <c r="C646" s="149" t="s">
        <v>534</v>
      </c>
      <c r="D646" s="103">
        <f t="shared" si="127"/>
        <v>534</v>
      </c>
      <c r="E646" s="150"/>
      <c r="F646" s="151">
        <f>IFERROR(VALUE(F579+F596+F607+F622+F630+F638),"CEK KEMBALI INPUTAN ANDA")</f>
        <v>357</v>
      </c>
      <c r="G646" s="927"/>
      <c r="H646" s="922"/>
      <c r="I646" s="923"/>
      <c r="J646" s="680"/>
      <c r="K646" s="31"/>
      <c r="L646" s="43"/>
      <c r="M646" s="16"/>
      <c r="N646" s="16"/>
      <c r="O646" s="16"/>
      <c r="P646" s="16"/>
      <c r="Q646" s="16"/>
      <c r="R646" s="16"/>
      <c r="S646" s="16"/>
      <c r="T646" s="16"/>
      <c r="U646" s="16"/>
      <c r="V646" s="16"/>
    </row>
    <row r="647" spans="1:22" hidden="1" x14ac:dyDescent="0.25">
      <c r="A647" s="205"/>
      <c r="B647" s="401"/>
      <c r="C647" s="402"/>
      <c r="D647" s="401"/>
      <c r="E647" s="38"/>
      <c r="F647" s="95">
        <f ca="1">TODAY()</f>
        <v>45771</v>
      </c>
      <c r="J647" s="205"/>
    </row>
    <row r="648" spans="1:22" ht="42.6" customHeight="1" x14ac:dyDescent="0.25">
      <c r="A648" s="205"/>
      <c r="B648" s="197" t="str">
        <f ca="1">"Pada Tanggal "&amp;TEXT(F647,"dd mmmm yyyy")&amp;", telah dilakukan pendataan Indeks Desa Tahun 2025 sesuai Peraturan Menteri Desa Pembangunan Daerah Tertingal dan Transmigrasi, Republik Indonesia Nomor 9 Tahun 2024 tentang Indeks Desa"</f>
        <v>Pada Tanggal 24 April 2025, telah dilakukan pendataan Indeks Desa Tahun 2025 sesuai Peraturan Menteri Desa Pembangunan Daerah Tertingal dan Transmigrasi, Republik Indonesia Nomor 9 Tahun 2024 tentang Indeks Desa</v>
      </c>
      <c r="C648" s="58"/>
      <c r="D648" s="58"/>
      <c r="E648" s="58"/>
      <c r="F648" s="58"/>
      <c r="J648" s="205"/>
    </row>
    <row r="649" spans="1:22" ht="21" customHeight="1" x14ac:dyDescent="0.25">
      <c r="A649" s="205"/>
      <c r="B649" s="59"/>
      <c r="C649" s="59"/>
      <c r="D649" s="59"/>
      <c r="E649" s="59"/>
      <c r="F649" s="59"/>
      <c r="J649" s="205"/>
    </row>
    <row r="650" spans="1:22" x14ac:dyDescent="0.25">
      <c r="A650" s="205"/>
      <c r="B650" s="401"/>
      <c r="C650" s="402"/>
      <c r="D650" s="401"/>
      <c r="E650" s="38"/>
      <c r="F650" s="403"/>
      <c r="J650" s="205"/>
    </row>
    <row r="651" spans="1:22" x14ac:dyDescent="0.25">
      <c r="A651" s="404"/>
      <c r="B651" s="405" t="s">
        <v>2468</v>
      </c>
      <c r="C651" s="406"/>
      <c r="D651" s="407"/>
      <c r="E651" s="408"/>
      <c r="F651" s="409"/>
      <c r="J651" s="205"/>
    </row>
    <row r="652" spans="1:22" x14ac:dyDescent="0.25">
      <c r="A652" s="410"/>
      <c r="B652" s="411"/>
      <c r="C652" s="412"/>
      <c r="D652" s="413"/>
      <c r="E652" s="414"/>
      <c r="F652" s="415"/>
      <c r="J652" s="205"/>
    </row>
    <row r="653" spans="1:22" x14ac:dyDescent="0.25">
      <c r="A653" s="410"/>
      <c r="B653" s="411"/>
      <c r="C653" s="412"/>
      <c r="D653" s="413"/>
      <c r="E653" s="414"/>
      <c r="F653" s="415"/>
      <c r="J653" s="205"/>
    </row>
    <row r="654" spans="1:22" x14ac:dyDescent="0.25">
      <c r="A654" s="416"/>
      <c r="B654" s="417"/>
      <c r="C654" s="418"/>
      <c r="D654" s="419"/>
      <c r="E654" s="420"/>
      <c r="F654" s="421"/>
      <c r="J654" s="205"/>
    </row>
    <row r="655" spans="1:22" x14ac:dyDescent="0.25">
      <c r="A655" s="404"/>
      <c r="B655" s="405" t="s">
        <v>2469</v>
      </c>
      <c r="C655" s="406"/>
      <c r="D655" s="407"/>
      <c r="E655" s="408"/>
      <c r="F655" s="409"/>
      <c r="J655" s="205"/>
    </row>
    <row r="656" spans="1:22" x14ac:dyDescent="0.25">
      <c r="A656" s="410"/>
      <c r="B656" s="411"/>
      <c r="C656" s="412"/>
      <c r="D656" s="413"/>
      <c r="E656" s="414"/>
      <c r="F656" s="415"/>
      <c r="J656" s="205"/>
    </row>
    <row r="657" spans="1:10" x14ac:dyDescent="0.25">
      <c r="A657" s="410"/>
      <c r="B657" s="411"/>
      <c r="C657" s="412"/>
      <c r="D657" s="413"/>
      <c r="E657" s="414"/>
      <c r="F657" s="415"/>
      <c r="J657" s="205"/>
    </row>
    <row r="658" spans="1:10" x14ac:dyDescent="0.25">
      <c r="A658" s="416"/>
      <c r="B658" s="417"/>
      <c r="C658" s="418"/>
      <c r="D658" s="419"/>
      <c r="E658" s="420"/>
      <c r="F658" s="421"/>
      <c r="J658" s="205"/>
    </row>
    <row r="659" spans="1:10" x14ac:dyDescent="0.25">
      <c r="A659" s="404"/>
      <c r="B659" s="405" t="s">
        <v>2470</v>
      </c>
      <c r="C659" s="406"/>
      <c r="D659" s="407"/>
      <c r="E659" s="408"/>
      <c r="F659" s="409"/>
      <c r="J659" s="205"/>
    </row>
    <row r="660" spans="1:10" x14ac:dyDescent="0.25">
      <c r="A660" s="410"/>
      <c r="B660" s="411"/>
      <c r="C660" s="412"/>
      <c r="D660" s="413"/>
      <c r="E660" s="414"/>
      <c r="F660" s="415"/>
      <c r="J660" s="205"/>
    </row>
    <row r="661" spans="1:10" x14ac:dyDescent="0.25">
      <c r="A661" s="410"/>
      <c r="B661" s="411"/>
      <c r="C661" s="412"/>
      <c r="D661" s="413"/>
      <c r="E661" s="414"/>
      <c r="F661" s="415"/>
      <c r="J661" s="205"/>
    </row>
    <row r="662" spans="1:10" x14ac:dyDescent="0.25">
      <c r="A662" s="416"/>
      <c r="B662" s="417"/>
      <c r="C662" s="418"/>
      <c r="D662" s="419"/>
      <c r="E662" s="420"/>
      <c r="F662" s="421"/>
      <c r="J662" s="205"/>
    </row>
    <row r="663" spans="1:10" x14ac:dyDescent="0.25">
      <c r="A663" s="404"/>
      <c r="B663" s="405" t="s">
        <v>2471</v>
      </c>
      <c r="C663" s="406"/>
      <c r="D663" s="407"/>
      <c r="E663" s="408"/>
      <c r="F663" s="409"/>
      <c r="J663" s="205"/>
    </row>
    <row r="664" spans="1:10" x14ac:dyDescent="0.25">
      <c r="A664" s="410"/>
      <c r="B664" s="422"/>
      <c r="C664" s="423"/>
      <c r="D664" s="413"/>
      <c r="E664" s="414"/>
      <c r="F664" s="415"/>
      <c r="J664" s="205"/>
    </row>
    <row r="665" spans="1:10" x14ac:dyDescent="0.25">
      <c r="A665" s="410"/>
      <c r="B665" s="422"/>
      <c r="C665" s="423"/>
      <c r="D665" s="413"/>
      <c r="E665" s="414"/>
      <c r="F665" s="415"/>
      <c r="J665" s="205"/>
    </row>
    <row r="666" spans="1:10" x14ac:dyDescent="0.25">
      <c r="A666" s="416"/>
      <c r="B666" s="424"/>
      <c r="C666" s="425"/>
      <c r="D666" s="419"/>
      <c r="E666" s="420"/>
      <c r="F666" s="421"/>
      <c r="J666" s="205"/>
    </row>
  </sheetData>
  <sheetProtection algorithmName="SHA-512" hashValue="pzBXKY81h/xIcxROSAUz1VtG5Mg8Q2S62FRqfmv/RbxEXDCW93bEezJKDoi9ytGvVjjDD8jAJDKp6gkkQrSUiQ==" saltValue="0JXGaQZIwbDwQg/qc8WmGQ==" spinCount="100000" sheet="1" objects="1" scenarios="1"/>
  <autoFilter ref="A4:V648" xr:uid="{00000000-0009-0000-0000-000001000000}"/>
  <dataConsolidate/>
  <mergeCells count="10">
    <mergeCell ref="M1:V1"/>
    <mergeCell ref="A3:D3"/>
    <mergeCell ref="A1:F1"/>
    <mergeCell ref="A2:F2"/>
    <mergeCell ref="A30:A32"/>
    <mergeCell ref="A27:A28"/>
    <mergeCell ref="A25:A26"/>
    <mergeCell ref="A23:A24"/>
    <mergeCell ref="A21:A22"/>
    <mergeCell ref="A16:A19"/>
  </mergeCells>
  <phoneticPr fontId="21" type="noConversion"/>
  <conditionalFormatting sqref="A2 J4">
    <cfRule type="dataBar" priority="267">
      <dataBar>
        <cfvo type="min"/>
        <cfvo type="max"/>
        <color theme="8" tint="0.59999389629810485"/>
      </dataBar>
      <extLst>
        <ext xmlns:x14="http://schemas.microsoft.com/office/spreadsheetml/2009/9/main" uri="{B025F937-C7B1-47D3-B67F-A62EFF666E3E}">
          <x14:id>{BE1B35DE-BDAF-4CA9-A0DA-603D888766F6}</x14:id>
        </ext>
      </extLst>
    </cfRule>
  </conditionalFormatting>
  <conditionalFormatting sqref="J1">
    <cfRule type="expression" dxfId="60" priority="106">
      <formula>$J$1&gt;0</formula>
    </cfRule>
    <cfRule type="expression" dxfId="59" priority="105">
      <formula>$J$1=0</formula>
    </cfRule>
  </conditionalFormatting>
  <conditionalFormatting sqref="J2">
    <cfRule type="expression" dxfId="58" priority="108">
      <formula>$J$2="BELUM SELESAI"</formula>
    </cfRule>
    <cfRule type="expression" dxfId="57" priority="107">
      <formula>$J$2="UNGGAH FILE"</formula>
    </cfRule>
  </conditionalFormatting>
  <conditionalFormatting sqref="J3">
    <cfRule type="expression" dxfId="56" priority="78">
      <formula>$J$3="SELESAI"</formula>
    </cfRule>
  </conditionalFormatting>
  <conditionalFormatting sqref="J6:J11 J332:J336 J339:J363 J389">
    <cfRule type="expression" dxfId="55" priority="266">
      <formula>OR(J6="Belum Terisi",J6="CEK")</formula>
    </cfRule>
  </conditionalFormatting>
  <conditionalFormatting sqref="J13:J323">
    <cfRule type="expression" dxfId="54" priority="175">
      <formula>OR(J13="Belum Terisi",J13="CEK")</formula>
    </cfRule>
  </conditionalFormatting>
  <conditionalFormatting sqref="J50">
    <cfRule type="expression" dxfId="53" priority="271">
      <formula>OR(J50="Belum Terisi",J61="CEK")</formula>
    </cfRule>
  </conditionalFormatting>
  <conditionalFormatting sqref="J52 J54:J62 J64:J69 J71:J77 J79:J83 J85:J87">
    <cfRule type="expression" dxfId="52" priority="179">
      <formula>OR(J52="Belum Terisi",J64="CEK")</formula>
    </cfRule>
  </conditionalFormatting>
  <conditionalFormatting sqref="J85:J87 J89:J90">
    <cfRule type="expression" dxfId="51" priority="282">
      <formula>OR(J85="Belum Terisi",#REF!="CEK")</formula>
    </cfRule>
  </conditionalFormatting>
  <conditionalFormatting sqref="J105">
    <cfRule type="expression" dxfId="50" priority="80">
      <formula>J105="Belum Terisi"</formula>
    </cfRule>
  </conditionalFormatting>
  <conditionalFormatting sqref="J124">
    <cfRule type="expression" dxfId="49" priority="161">
      <formula>J124="Belum Terisi"</formula>
    </cfRule>
  </conditionalFormatting>
  <conditionalFormatting sqref="J133:J135 J137:J144 J146:J150 J157:J165">
    <cfRule type="expression" dxfId="48" priority="166">
      <formula>J133="Belum Terisi"</formula>
    </cfRule>
  </conditionalFormatting>
  <conditionalFormatting sqref="J155">
    <cfRule type="expression" dxfId="47" priority="51">
      <formula>J155="Belum Terisi"</formula>
    </cfRule>
  </conditionalFormatting>
  <conditionalFormatting sqref="J168">
    <cfRule type="expression" dxfId="46" priority="159">
      <formula>J168="Belum Terisi"</formula>
    </cfRule>
  </conditionalFormatting>
  <conditionalFormatting sqref="J172">
    <cfRule type="expression" dxfId="45" priority="158">
      <formula>J172="Belum Terisi"</formula>
    </cfRule>
  </conditionalFormatting>
  <conditionalFormatting sqref="J183">
    <cfRule type="expression" dxfId="44" priority="70">
      <formula>J183="Belum Terisi"</formula>
    </cfRule>
  </conditionalFormatting>
  <conditionalFormatting sqref="J194">
    <cfRule type="expression" dxfId="43" priority="69">
      <formula>J194="Belum Terisi"</formula>
    </cfRule>
  </conditionalFormatting>
  <conditionalFormatting sqref="J205">
    <cfRule type="expression" dxfId="42" priority="68">
      <formula>J205="Belum Terisi"</formula>
    </cfRule>
  </conditionalFormatting>
  <conditionalFormatting sqref="J325:J330">
    <cfRule type="expression" dxfId="41" priority="49">
      <formula>OR(J325="Belum Terisi",J325="CEK")</formula>
    </cfRule>
  </conditionalFormatting>
  <conditionalFormatting sqref="J365:J369">
    <cfRule type="expression" dxfId="40" priority="48">
      <formula>OR(J365="Belum Terisi",J365="CEK")</formula>
    </cfRule>
  </conditionalFormatting>
  <conditionalFormatting sqref="J371:J372">
    <cfRule type="expression" dxfId="39" priority="47">
      <formula>OR(J371="Belum Terisi",J371="CEK")</formula>
    </cfRule>
  </conditionalFormatting>
  <conditionalFormatting sqref="J375:J376">
    <cfRule type="expression" dxfId="38" priority="46">
      <formula>OR(J375="Belum Terisi",J375="CEK")</formula>
    </cfRule>
  </conditionalFormatting>
  <conditionalFormatting sqref="J378:J387">
    <cfRule type="expression" dxfId="37" priority="45">
      <formula>OR(J378="Belum Terisi",J378="CEK")</formula>
    </cfRule>
  </conditionalFormatting>
  <conditionalFormatting sqref="J391:J393">
    <cfRule type="expression" dxfId="36" priority="44">
      <formula>OR(J391="Belum Terisi",J391="CEK")</formula>
    </cfRule>
  </conditionalFormatting>
  <conditionalFormatting sqref="J395:J397">
    <cfRule type="expression" dxfId="35" priority="43">
      <formula>OR(J395="Belum Terisi",J395="CEK")</formula>
    </cfRule>
  </conditionalFormatting>
  <conditionalFormatting sqref="J401:J402">
    <cfRule type="expression" dxfId="34" priority="42">
      <formula>OR(J401="Belum Terisi",J401="CEK")</formula>
    </cfRule>
  </conditionalFormatting>
  <conditionalFormatting sqref="J404:J406">
    <cfRule type="expression" dxfId="33" priority="41">
      <formula>OR(J404="Belum Terisi",J404="CEK")</formula>
    </cfRule>
  </conditionalFormatting>
  <conditionalFormatting sqref="J408:J409">
    <cfRule type="expression" dxfId="32" priority="40">
      <formula>OR(J408="Belum Terisi",J408="CEK")</formula>
    </cfRule>
  </conditionalFormatting>
  <conditionalFormatting sqref="J411:J412">
    <cfRule type="expression" dxfId="31" priority="39">
      <formula>OR(J411="Belum Terisi",J411="CEK")</formula>
    </cfRule>
  </conditionalFormatting>
  <conditionalFormatting sqref="J414:J417">
    <cfRule type="expression" dxfId="30" priority="38">
      <formula>OR(J414="Belum Terisi",J414="CEK")</formula>
    </cfRule>
  </conditionalFormatting>
  <conditionalFormatting sqref="J419:J424">
    <cfRule type="expression" dxfId="29" priority="35">
      <formula>OR(J419="Belum Terisi",J419="CEK")</formula>
    </cfRule>
  </conditionalFormatting>
  <conditionalFormatting sqref="J426:J430">
    <cfRule type="expression" dxfId="28" priority="32">
      <formula>OR(J426="Belum Terisi",J426="CEK")</formula>
    </cfRule>
  </conditionalFormatting>
  <conditionalFormatting sqref="J432:J436">
    <cfRule type="expression" dxfId="27" priority="29">
      <formula>OR(J432="Belum Terisi",J432="CEK")</formula>
    </cfRule>
  </conditionalFormatting>
  <conditionalFormatting sqref="J438:J442">
    <cfRule type="expression" dxfId="26" priority="26">
      <formula>OR(J438="Belum Terisi",J438="CEK")</formula>
    </cfRule>
  </conditionalFormatting>
  <conditionalFormatting sqref="J444:J448">
    <cfRule type="expression" dxfId="25" priority="23">
      <formula>OR(J444="Belum Terisi",J444="CEK")</formula>
    </cfRule>
  </conditionalFormatting>
  <conditionalFormatting sqref="J450:J460">
    <cfRule type="expression" dxfId="24" priority="20">
      <formula>OR(J450="Belum Terisi",J450="CEK")</formula>
    </cfRule>
  </conditionalFormatting>
  <conditionalFormatting sqref="J462:J464">
    <cfRule type="expression" dxfId="23" priority="19">
      <formula>OR(J462="Belum Terisi",J462="CEK")</formula>
    </cfRule>
  </conditionalFormatting>
  <conditionalFormatting sqref="J466:J469">
    <cfRule type="expression" dxfId="22" priority="18">
      <formula>OR(J466="Belum Terisi",J466="CEK")</formula>
    </cfRule>
  </conditionalFormatting>
  <conditionalFormatting sqref="J473:J479">
    <cfRule type="expression" dxfId="21" priority="16">
      <formula>OR(J473="Belum Terisi",J473="CEK")</formula>
    </cfRule>
  </conditionalFormatting>
  <conditionalFormatting sqref="J481:J487">
    <cfRule type="expression" dxfId="20" priority="13">
      <formula>OR(J481="Belum Terisi",J481="CEK")</formula>
    </cfRule>
  </conditionalFormatting>
  <conditionalFormatting sqref="J489:J502">
    <cfRule type="expression" dxfId="19" priority="9">
      <formula>OR(J489="Belum Terisi",J489="CEK")</formula>
    </cfRule>
  </conditionalFormatting>
  <conditionalFormatting sqref="J505:J525">
    <cfRule type="expression" dxfId="18" priority="6">
      <formula>OR(J505="Belum Terisi",J505="CEK")</formula>
    </cfRule>
  </conditionalFormatting>
  <conditionalFormatting sqref="J529">
    <cfRule type="expression" dxfId="17" priority="5">
      <formula>OR(J529="Belum Terisi",J529="CEK")</formula>
    </cfRule>
  </conditionalFormatting>
  <conditionalFormatting sqref="J531:J535">
    <cfRule type="expression" dxfId="16" priority="4">
      <formula>OR(J531="Belum Terisi",J531="CEK")</formula>
    </cfRule>
  </conditionalFormatting>
  <conditionalFormatting sqref="J537:J538">
    <cfRule type="expression" dxfId="15" priority="3">
      <formula>OR(J537="Belum Terisi",J537="CEK")</formula>
    </cfRule>
  </conditionalFormatting>
  <conditionalFormatting sqref="J541:J542">
    <cfRule type="expression" dxfId="14" priority="2">
      <formula>OR(J541="Belum Terisi",J541="CEK")</formula>
    </cfRule>
  </conditionalFormatting>
  <conditionalFormatting sqref="J544:J577">
    <cfRule type="expression" dxfId="13" priority="1">
      <formula>OR(J544="Belum Terisi",J544="CEK")</formula>
    </cfRule>
  </conditionalFormatting>
  <dataValidations xWindow="1189" yWindow="588" count="488">
    <dataValidation type="textLength" showInputMessage="1" showErrorMessage="1" error="Diisi Nama Lengkap" promptTitle="Nama Lengkap Informan" prompt=" " sqref="F13" xr:uid="{00000000-0002-0000-0100-000000000000}">
      <formula1>4</formula1>
      <formula2>30</formula2>
    </dataValidation>
    <dataValidation type="list" showInputMessage="1" showErrorMessage="1" promptTitle="Tersedia Tempat Praktek Bidan" prompt="Ada_x000a_Tidak Ada_x000a__x000a_" sqref="F248" xr:uid="{00000000-0002-0000-0100-000001000000}">
      <formula1>"Ada, Tidak Ada"</formula1>
    </dataValidation>
    <dataValidation type="list" showInputMessage="1" showErrorMessage="1" promptTitle="Ketersediaan Angkutan Umum" prompt="Angkutan umum utama di Desa beroperasi setiap hari_x000a_1: Ada, Trayek Tetap_x000a_2: Ada, Tanpa Trayek Tetap_x000a_3: Tidak Ada Angkutan Umum" sqref="F544" xr:uid="{00000000-0002-0000-0100-000002000000}">
      <formula1>IF(OR($F$541=1,$F$541=""),tiga,adaangkot)</formula1>
    </dataValidation>
    <dataValidation type="list" operator="lessThanOrEqual" showInputMessage="1" showErrorMessage="1" promptTitle="Jlh SD/MI di Desa" prompt=" " sqref="F181" xr:uid="{00000000-0002-0000-0100-000003000000}">
      <formula1>"0,1,2,3,4,5"</formula1>
    </dataValidation>
    <dataValidation type="list" operator="greaterThanOrEqual" showInputMessage="1" showErrorMessage="1" promptTitle="Info APBDes (Website)" prompt="Ada_x000a_Tidak Ada" sqref="F161" xr:uid="{00000000-0002-0000-0100-000004000000}">
      <formula1>"Ada, Tidak Ada"</formula1>
    </dataValidation>
    <dataValidation type="list" showInputMessage="1" showErrorMessage="1" promptTitle="Keberadaan Bumdesa" prompt="2: Tidak Ada_x000a_6: Ada, Belum Berbadan Hukum_x000a_10: Ada, Sudah Berbadan Hukum" sqref="F450" xr:uid="{00000000-0002-0000-0100-000005000000}">
      <formula1>"2,6,10"</formula1>
    </dataValidation>
    <dataValidation type="list" showInputMessage="1" showErrorMessage="1" promptTitle="Jenis Wilayah Topografi Desa" prompt="- Dataran Rendah_x000a_- Dataran Tinggi/ Pegunungan_x000a_- Kepulauan_x000a_- Pesisir_x000a_- Rawa" sqref="F115" xr:uid="{00000000-0002-0000-0100-000006000000}">
      <formula1>"Dataran Rendah,Dataran Tinggi/ Pegunungan,Kepulauan,Pesisir,Rawa"</formula1>
    </dataValidation>
    <dataValidation type="list" showInputMessage="1" showErrorMessage="1" promptTitle="Terdapat BPR di Desa" prompt="Ada_x000a_Tidak Ada" sqref="F464" xr:uid="{00000000-0002-0000-0100-000007000000}">
      <formula1>"Ada, Tidak Ada"</formula1>
    </dataValidation>
    <dataValidation type="list" operator="lessThanOrEqual" showInputMessage="1" showErrorMessage="1" promptTitle="Jarak SD/MI T'dekat" prompt="1: 0 - 0,15 Km_x000a_2: &gt;0,15 - 0,5 Km_x000a_3: &gt;0,5 Km" sqref="F184" xr:uid="{00000000-0002-0000-0100-000008000000}">
      <formula1>"1,2,3"</formula1>
    </dataValidation>
    <dataValidation type="list" operator="lessThanOrEqual" showInputMessage="1" showErrorMessage="1" promptTitle="Waktu Tempuh Hotel/Inap T'dekat" prompt="1: 0 - 8 Menit_x000a_2: &gt;8 - 40 Menit_x000a_3: &gt;40 Menit" sqref="F440" xr:uid="{00000000-0002-0000-0100-000009000000}">
      <formula1>"1,2,3"</formula1>
    </dataValidation>
    <dataValidation type="list" showInputMessage="1" showErrorMessage="1" promptTitle="Jenis Kelamin Informan" prompt="Laki- Laki_x000a_Perempuan" sqref="F20" xr:uid="{00000000-0002-0000-0100-00000A000000}">
      <formula1>IF(OR($F$14="",$F$14="-"),kosong,kelamin)</formula1>
    </dataValidation>
    <dataValidation type="list" operator="lessThanOrEqual" allowBlank="1" showInputMessage="1" showErrorMessage="1" promptTitle="Jarak Sarkes Terdekat" prompt="1: 0 - 0,5 Km_x000a_2: &gt;0,5 - 2 Km_x000a_3: &gt;2 Km" sqref="F222" xr:uid="{00000000-0002-0000-0100-00000B000000}">
      <formula1>"1,2,3"</formula1>
    </dataValidation>
    <dataValidation type="list" showInputMessage="1" showErrorMessage="1" promptTitle="Ada Tidaknya Konflik di Desa" prompt="Ada_x000a_Tidak Ada" sqref="F349" xr:uid="{00000000-0002-0000-0100-00000C000000}">
      <formula1>"Ada, Tidak Ada"</formula1>
    </dataValidation>
    <dataValidation type="list" operator="greaterThanOrEqual" showInputMessage="1" showErrorMessage="1" promptTitle="Info APBDes (Musdes)" prompt="Ada_x000a_Tidak Ada" sqref="F160" xr:uid="{00000000-0002-0000-0100-00000D000000}">
      <formula1>"Ada, Tidak Ada"</formula1>
    </dataValidation>
    <dataValidation type="list" showInputMessage="1" showErrorMessage="1" promptTitle="Tersedianya POS" prompt="Terdapat kantor pos / pos pembantu / rumah pos / pos keliling di Desa_x000a_1: Tidak Ada_x000a_5: Ada" sqref="F444" xr:uid="{00000000-0002-0000-0100-00000E000000}">
      <formula1>"1,5"</formula1>
    </dataValidation>
    <dataValidation type="list" showInputMessage="1" showErrorMessage="1" promptTitle="Jabatan Petugas Pengisi Formulir" prompt="Pendamping Lokal Desa_x000a_Pendamping Desa_x000a_Kader_x000a_Perangkat Desa" sqref="F10" xr:uid="{00000000-0002-0000-0100-00000F000000}">
      <formula1>"Pendamping Lokal Desa, Pendamping Desa, Kader, Perangkat Desa"</formula1>
    </dataValidation>
    <dataValidation type="list" showInputMessage="1" showErrorMessage="1" promptTitle="Pendidikan T'akhir Plt/ Kades" prompt="0. Tidak Pernah Sekolah_x000a_1. Tamat S3_x000a_2. Tamat S2_x000a_3. Tamat S1/DIV_x000a_4. Tamat Akademi DIII_x000a_5. Tamat SLTA/ Sederajat_x000a_6. Tamat SLTP/ Sederajat_x000a_7. Tamat SD/ Sederajat_x000a_8. Tidak Tamat SD/sederajat" sqref="F44" xr:uid="{00000000-0002-0000-0100-000010000000}">
      <formula1>IF($F$33="",kosong,tamatpendidikan)</formula1>
    </dataValidation>
    <dataValidation type="list" operator="lessThanOrEqual" allowBlank="1" showInputMessage="1" showErrorMessage="1" promptTitle="Jarak Pos PAUD T'dekat" prompt="1:  0 - 0,1 Km_x000a_2: &gt;0,1 - 0,5 Km_x000a_3: &gt;0.5 Km" sqref="F173" xr:uid="{00000000-0002-0000-0100-000011000000}">
      <formula1>"1,2,3"</formula1>
    </dataValidation>
    <dataValidation type="whole" operator="greaterThanOrEqual" allowBlank="1" showInputMessage="1" showErrorMessage="1" sqref="E403:F403 E400:F400" xr:uid="{00000000-0002-0000-0100-000012000000}">
      <formula1>0</formula1>
    </dataValidation>
    <dataValidation allowBlank="1" showInputMessage="1" showErrorMessage="1" promptTitle="Permendagri Tahun 2022" prompt="Permendagri No.100.1.1-6117 Tahun 2022" sqref="F24 F26 F28 F22" xr:uid="{00000000-0002-0000-0100-000013000000}"/>
    <dataValidation type="whole" showInputMessage="1" showErrorMessage="1" error="Tidak terdapat konflik lahan" promptTitle="Jlh Konflik Lahan antar desa" prompt="Jlh konflik Antar Kelompok Masyarakat antar desa_x000a_Jika Tidak Ada diisi nol &quot; 0 &quot;" sqref="F359" xr:uid="{00000000-0002-0000-0100-000014000000}">
      <formula1>0</formula1>
      <formula2>IF(OR(F357="",F357="tidak ada"),0,50)</formula2>
    </dataValidation>
    <dataValidation type="list" operator="greaterThanOrEqual" showInputMessage="1" showErrorMessage="1" promptTitle="Info APBDes (Papan Informasi)" prompt="Ada_x000a_Tidak Ada" sqref="F159" xr:uid="{00000000-0002-0000-0100-000015000000}">
      <formula1>"Ada, Tidak Ada"</formula1>
    </dataValidation>
    <dataValidation type="list" operator="lessThanOrEqual" showInputMessage="1" showErrorMessage="1" promptTitle="Waktu Tempuh ke Poskesdes/Polind" prompt="1: 0 - 2 Menit_x000a_2: &gt;2 - 15 Menit_x000a_3: &gt;15 Menit" sqref="F236" xr:uid="{00000000-0002-0000-0100-000016000000}">
      <formula1>"1,2,3"</formula1>
    </dataValidation>
    <dataValidation type="textLength" showInputMessage="1" showErrorMessage="1" promptTitle="Nama Akun Facebook Desa" prompt="Jika Tidak Ada Diisi &quot; - &quot;" sqref="F39" xr:uid="{00000000-0002-0000-0100-000017000000}">
      <formula1>1</formula1>
      <formula2>50</formula2>
    </dataValidation>
    <dataValidation type="list" showInputMessage="1" showErrorMessage="1" promptTitle="Terdapat Konflik Terkait Lahan" prompt="Ada_x000a_Tidak Ada" sqref="F357" xr:uid="{00000000-0002-0000-0100-000018000000}">
      <formula1>"Ada, Tidak Ada"</formula1>
    </dataValidation>
    <dataValidation type="textLength" showInputMessage="1" showErrorMessage="1" error="Diisi dengan Benar" promptTitle="Titik Koordinat Timestamp diDesa" prompt="Diambil dari hasil foto aplikasi TIMESTAMP_x000a_Contoh: _x000a_2.88229393S 108.23985578E_x000a_(Lihat Buku Panduan)" sqref="F29" xr:uid="{00000000-0002-0000-0100-000019000000}">
      <formula1>18</formula1>
      <formula2>27</formula2>
    </dataValidation>
    <dataValidation type="whole" showInputMessage="1" showErrorMessage="1" promptTitle="Jumlah Total Penduduk" prompt="Terhitung Otomatis dari jumlah penduduk laki-laki dan perempuan" sqref="F118" xr:uid="{00000000-0002-0000-0100-00001A000000}">
      <formula1>10</formula1>
      <formula2>120000</formula2>
    </dataValidation>
    <dataValidation type="whole" showInputMessage="1" showErrorMessage="1" promptTitle="Nomor Telp Aktif Kantor Desa" prompt="No Telp Kantor Desa Aktif" sqref="F37" xr:uid="{00000000-0002-0000-0100-00001B000000}">
      <formula1>0</formula1>
      <formula2>999999999999</formula2>
    </dataValidation>
    <dataValidation type="list" showInputMessage="1" showErrorMessage="1" promptTitle="Terdapat Kantor Desa" prompt="0. Tidak Ada Kantor Desa_x000a_1. Ada, Diwilayah Desa_x000a_2. Ada, Diluar Wilayah Desa_x000a_" sqref="F31" xr:uid="{00000000-0002-0000-0100-00001C000000}">
      <formula1>"0,1,2"</formula1>
    </dataValidation>
    <dataValidation type="list" operator="lessThanOrEqual" showInputMessage="1" showErrorMessage="1" promptTitle="Jlh SMU/MA/SMK di Desa" prompt=" " sqref="F203" xr:uid="{00000000-0002-0000-0100-00001D000000}">
      <formula1>"0,1,2,3,4,5"</formula1>
    </dataValidation>
    <dataValidation type="list" operator="lessThanOrEqual" showInputMessage="1" showErrorMessage="1" promptTitle="Jlh SMP/MTs di Desa" prompt=" " sqref="F192" xr:uid="{00000000-0002-0000-0100-00001E000000}">
      <formula1>"0,1,2,3,4,5"</formula1>
    </dataValidation>
    <dataValidation type="list" operator="lessThanOrEqual" showInputMessage="1" showErrorMessage="1" promptTitle="Jarak SMP/MTs T'dekat" prompt="1: 0 - 0,5 Km_x000a_2: &gt;0,5 - 2 Km_x000a_3: &gt;2 Km" sqref="F195" xr:uid="{00000000-0002-0000-0100-00001F000000}">
      <formula1>"1,2,3"</formula1>
    </dataValidation>
    <dataValidation type="textLength" showInputMessage="1" showErrorMessage="1" promptTitle="Alamat Kantor Desa" prompt="Alamat Lengkap Kantor Desa" sqref="F30" xr:uid="{00000000-0002-0000-0100-000020000000}">
      <formula1>1</formula1>
      <formula2>150</formula2>
    </dataValidation>
    <dataValidation type="list" operator="lessThanOrEqual" showInputMessage="1" showErrorMessage="1" promptTitle="Jarak Penginapan/Hotel T'dekat" prompt="1: 0 - 2,5 Km_x000a_2: &gt;2,5 - 18 Km_x000a_3: &gt;18 Km" sqref="F439" xr:uid="{00000000-0002-0000-0100-000021000000}">
      <formula1>"1,2,3"</formula1>
    </dataValidation>
    <dataValidation type="list" showInputMessage="1" showErrorMessage="1" promptTitle="Fasilitas Pringatan Dini Bencana" prompt="Ada_x000a_Tidak Ada" sqref="F517" xr:uid="{00000000-0002-0000-0100-000022000000}">
      <formula1>"Ada, Tidak Ada"</formula1>
    </dataValidation>
    <dataValidation type="list" showInputMessage="1" showErrorMessage="1" promptTitle="Perlengkapan Keselamatan" prompt=" Terdapat fasilitas mitigasi bencana alam di Desa berupa perlengkapan keselamatan_x000a_Ada_x000a_Tidak Ada" sqref="F518" xr:uid="{00000000-0002-0000-0100-000023000000}">
      <formula1>"Ada, Tidak Ada"</formula1>
    </dataValidation>
    <dataValidation type="textLength" showInputMessage="1" showErrorMessage="1" promptTitle="Nama Lengkap Plt/ Kades" prompt="Nama Lengkap Plt/ Kepala Desa" sqref="F33" xr:uid="{00000000-0002-0000-0100-000024000000}">
      <formula1>3</formula1>
      <formula2>30</formula2>
    </dataValidation>
    <dataValidation type="textLength" showInputMessage="1" showErrorMessage="1" promptTitle="Info APBDes (Lainnya)" prompt="(Sebutkan)_x000a_Jika Tidak Ada diisi &quot; - &quot;" sqref="F164" xr:uid="{00000000-0002-0000-0100-000025000000}">
      <formula1>1</formula1>
      <formula2>50</formula2>
    </dataValidation>
    <dataValidation type="textLength" showInputMessage="1" showErrorMessage="1" promptTitle="Nama Akun Twitter Desa" prompt="Jika Tidak Ada Diisi &quot; - &quot;" sqref="F41:F42" xr:uid="{00000000-0002-0000-0100-000026000000}">
      <formula1>1</formula1>
      <formula2>50</formula2>
    </dataValidation>
    <dataValidation showInputMessage="1" showErrorMessage="1" error="Diisi Nama Lengkap Petugas" promptTitle="Petugas Pendataan Indeks Desa 25" prompt="Di ambil dari Sheet Persetujuan" sqref="F6" xr:uid="{00000000-0002-0000-0100-000027000000}"/>
    <dataValidation type="textLength" showInputMessage="1" showErrorMessage="1" promptTitle="Alamat Web Desa" prompt="Jika Tidak Ada Diisi &quot; - &quot;" sqref="F43" xr:uid="{00000000-0002-0000-0100-000028000000}">
      <formula1>1</formula1>
      <formula2>50</formula2>
    </dataValidation>
    <dataValidation type="list" showInputMessage="1" showErrorMessage="1" promptTitle="Jenis Kelamin Plt/ Kelapa Desa" prompt="Laki-laki_x000a_Perempuan" sqref="F35" xr:uid="{00000000-0002-0000-0100-000029000000}">
      <formula1>IF($F$34="",kosong,kelamin)</formula1>
    </dataValidation>
    <dataValidation type="textLength" showInputMessage="1" showErrorMessage="1" promptTitle="Alamat Email Aktif Kantor Desa" prompt="Jika Tidak Ada Diisi &quot; - &quot;" sqref="F38" xr:uid="{00000000-0002-0000-0100-00002A000000}">
      <formula1>1</formula1>
      <formula2>50</formula2>
    </dataValidation>
    <dataValidation type="list" showInputMessage="1" showErrorMessage="1" promptTitle="Sarkes Terdekat" prompt="1: Rumah Sakit Umum_x000a_2: Rumah Sakit Ibu dan Anak_x000a_3: Rumah Bersalin_x000a_4: Puskesmas_x000a_5: Pustu_x000a_6: Poskesdes_x000a_7: Polindes_x000a_8: Tempat Praktik Dokter_x000a_9: Klinik Dokter" sqref="F221" xr:uid="{00000000-0002-0000-0100-00002B000000}">
      <formula1>"1,2,3,4,5,6,7,8,9"</formula1>
    </dataValidation>
    <dataValidation type="list" showInputMessage="1" showErrorMessage="1" promptTitle="Terdapat Peta Desa dari Bupati" prompt="Ada_x000a_Tidak Ada" sqref="F32" xr:uid="{00000000-0002-0000-0100-00002C000000}">
      <formula1>"Ada, Tidak Ada"</formula1>
    </dataValidation>
    <dataValidation type="textLength" showInputMessage="1" showErrorMessage="1" promptTitle="Nama Akun Instragram Desa" prompt="Jika Tidak Ada Diisi &quot; - &quot;" sqref="F40" xr:uid="{00000000-0002-0000-0100-00002D000000}">
      <formula1>1</formula1>
      <formula2>50</formula2>
    </dataValidation>
    <dataValidation type="list" operator="lessThanOrEqual" showInputMessage="1" showErrorMessage="1" promptTitle="Jarak SMU/MA/SMK T'dekat" prompt="1: 0 - 1 Km_x000a_2: &gt;1 - 5 Km_x000a_3: &gt;5 Km" sqref="F206" xr:uid="{00000000-0002-0000-0100-00002E000000}">
      <formula1>"1,2,3"</formula1>
    </dataValidation>
    <dataValidation type="list" operator="lessThanOrEqual" showInputMessage="1" showErrorMessage="1" promptTitle="Jlh Pasar Toko/Warung Kelontong" prompt="1: 0 - 0,5 Km_x000a_2: &gt;0,5 - 15 Km_x000a_3: &gt;15 Km" sqref="F427" xr:uid="{00000000-0002-0000-0100-00002F000000}">
      <formula1>"1,2,3"</formula1>
    </dataValidation>
    <dataValidation type="decimal" operator="lessThanOrEqual" allowBlank="1" showInputMessage="1" showErrorMessage="1" promptTitle="Jarak ke Pertokoan (Meter)" prompt="Jarak menuju kelompok pertokoan di Desa (dalam Meter)" sqref="F427" xr:uid="{00000000-0002-0000-0100-000030000000}">
      <formula1>150000</formula1>
    </dataValidation>
    <dataValidation type="list" operator="lessThanOrEqual" showInputMessage="1" showErrorMessage="1" promptTitle="Jarak Poskesdes/ Polindes Tdekat" prompt="1: 0 - 0,3 Km_x000a_2: &gt;0,3 - 5 Km_x000a_3: &gt;5 Km" sqref="F235" xr:uid="{00000000-0002-0000-0100-000031000000}">
      <formula1>"1,2,3"</formula1>
    </dataValidation>
    <dataValidation type="textLength" operator="equal" allowBlank="1" showInputMessage="1" showErrorMessage="1" error="Isi NIK dengan Benar" promptTitle="Nomor Induk Kependudukan (NIK)" prompt="Nomor KTP" sqref="F9" xr:uid="{00000000-0002-0000-0100-000032000000}">
      <formula1>16</formula1>
    </dataValidation>
    <dataValidation type="list" showInputMessage="1" showErrorMessage="1" promptTitle="Petugas dr Unsur Perangkat Desa" prompt="Berdasarkan Permendagri No 84 Tahun 2015 tentang SOTK:_x000a__x000a_Sekretaris_x000a_Kepala Urusan_x000a_Kepala Seksi_x000a_Kepala Dusun/ Kepala Pelaksana Kewilayahan_x000a_" sqref="F11" xr:uid="{00000000-0002-0000-0100-000033000000}">
      <formula1>IF(OR($F$10="",$F$10&lt;&gt;"Perangkat Desa"),strip,perangkatdesa)</formula1>
    </dataValidation>
    <dataValidation type="list" showInputMessage="1" showErrorMessage="1" promptTitle="Jabatan Informan" prompt="Kepala Desa, _x000a_Plt Kades_x000a_Sekreatris Desa, _x000a_KAUR Umum, _x000a_KAUR Keuangan, _x000a_KAUR Perencanaan, _x000a_KASI Pemerintahan, _x000a_KASI Kesejahteraan, _x000a_KASI Pelayanan" sqref="F14" xr:uid="{00000000-0002-0000-0100-000034000000}">
      <formula1>IF($F$13="",kosong,jabataninforman)</formula1>
    </dataValidation>
    <dataValidation type="whole" allowBlank="1" showInputMessage="1" showErrorMessage="1" error="KODE PROVINSI 2 DIGIT" promptTitle="Permendagri Tahun 2022" prompt="Permendagri No.100.1.1-6117 Tahun 2022" sqref="F21" xr:uid="{00000000-0002-0000-0100-000035000000}">
      <formula1>11</formula1>
      <formula2>95</formula2>
    </dataValidation>
    <dataValidation type="textLength" operator="equal" allowBlank="1" showInputMessage="1" showErrorMessage="1" error="KODE KABUPATEN 4 DIGIT" promptTitle="Permendagri Tahun 2022" prompt="Permendagri No.100.1.1-6117 Tahun 2022" sqref="F23" xr:uid="{00000000-0002-0000-0100-000036000000}">
      <formula1>4</formula1>
    </dataValidation>
    <dataValidation type="textLength" operator="equal" allowBlank="1" showInputMessage="1" showErrorMessage="1" error="KODE KECAMATAN 6 DIGIT" promptTitle="Permendagri Tahun 2022" prompt="Permendagri No.100.1.1-6117 Tahun 2022" sqref="F25" xr:uid="{00000000-0002-0000-0100-000037000000}">
      <formula1>6</formula1>
    </dataValidation>
    <dataValidation type="textLength" operator="equal" allowBlank="1" showInputMessage="1" showErrorMessage="1" error="KODE DESA 10 DIGIT" promptTitle="Permendagri Tahun 2022" prompt="Permendagri No.100.1.1-6117 Tahun 2022" sqref="F27" xr:uid="{00000000-0002-0000-0100-000038000000}">
      <formula1>10</formula1>
    </dataValidation>
    <dataValidation type="list" showInputMessage="1" showErrorMessage="1" promptTitle="Status Jabatan Kepala Desa" prompt="Definitif_x000a_Penjabat" sqref="F34" xr:uid="{00000000-0002-0000-0100-000039000000}">
      <formula1>IF($F$33="",kosong,Kades)</formula1>
    </dataValidation>
    <dataValidation type="list" showInputMessage="1" showErrorMessage="1" promptTitle="Lama Periode Kades Menjabat" prompt="Periode ke-1_x000a_Periode ke-2_x000a_Periode ke-3" sqref="F46" xr:uid="{00000000-0002-0000-0100-00003A000000}">
      <formula1>IF($F$33="",kosong,periodekades)</formula1>
    </dataValidation>
    <dataValidation type="list" operator="lessThanOrEqual" showInputMessage="1" showErrorMessage="1" promptTitle="Waktu Tempuh SD/MI T'dekat" prompt="1: 0 - 1 Menit_x000a_2: &gt;1 - 3 Menit_x000a_3: &gt;3 Menit" sqref="F185" xr:uid="{00000000-0002-0000-0100-00003B000000}">
      <formula1>"1,2,3"</formula1>
    </dataValidation>
    <dataValidation type="list" operator="lessThanOrEqual" showInputMessage="1" showErrorMessage="1" promptTitle="Waktu Tempuh SMP/MTs T'dekat" prompt="1: 0 - 3 Menit_x000a_2: &gt;3 - 8 Menit_x000a_3: &gt;8 Menit" sqref="F196" xr:uid="{00000000-0002-0000-0100-00003C000000}">
      <formula1>"1,2,3"</formula1>
    </dataValidation>
    <dataValidation type="list" operator="lessThanOrEqual" showInputMessage="1" showErrorMessage="1" promptTitle="Waktu Tempuh SMU/MA/SMK T'dekat" prompt="1: 0 - 5 Menit_x000a_2: &gt;5 - 15 Menit_x000a_3: &gt;15 Menit" sqref="F207" xr:uid="{00000000-0002-0000-0100-00003D000000}">
      <formula1>"1,2,3"</formula1>
    </dataValidation>
    <dataValidation type="list" operator="lessThanOrEqual" showInputMessage="1" showErrorMessage="1" promptTitle="Waktu Tempuh PAUD T'dekat" prompt="1: 0 - 1 Menit_x000a_2: &gt;1 - 3 Menit_x000a_3: &gt;3 Menit" sqref="F174" xr:uid="{00000000-0002-0000-0100-00003E000000}">
      <formula1>"1,2,3"</formula1>
    </dataValidation>
    <dataValidation operator="greaterThanOrEqual" allowBlank="1" showInputMessage="1" showErrorMessage="1" promptTitle="Tanggal Lahir Informan" prompt="DD/MMMM/YYYY_x000a_Tanggal/bulan/tahun" sqref="F16" xr:uid="{00000000-0002-0000-0100-00003F000000}"/>
    <dataValidation allowBlank="1" showInputMessage="1" showErrorMessage="1" promptTitle="Total Paud Pemerintah dan Swasta" prompt="Terhitung Secara Otomatis" sqref="F170" xr:uid="{00000000-0002-0000-0100-000040000000}"/>
    <dataValidation type="textLength" allowBlank="1" showInputMessage="1" showErrorMessage="1" promptTitle="Masa Jabatan Plt/ Kepala Desa" prompt="Tahun dan Bulan_x000a_Cth: 4 Tahun 6 Bulan" sqref="F45" xr:uid="{00000000-0002-0000-0100-000041000000}">
      <formula1>7</formula1>
      <formula2>16</formula2>
    </dataValidation>
    <dataValidation allowBlank="1" showInputMessage="1" showErrorMessage="1" promptTitle="Jumlah Rumah Tidak Layak Huni" prompt="by sistem_x000a_Data diperoleh dari hasil Upload/Unggah template file" sqref="F320" xr:uid="{00000000-0002-0000-0100-000042000000}"/>
    <dataValidation type="decimal" allowBlank="1" showInputMessage="1" showErrorMessage="1" prompt="Jumlah Kegiatan Pemberdayaan - (Diisi Angka)" sqref="G146:G149 G97:G98 G103" xr:uid="{00000000-0002-0000-0100-000043000000}">
      <formula1>0</formula1>
      <formula2>24</formula2>
    </dataValidation>
    <dataValidation type="list" allowBlank="1" showInputMessage="1" showErrorMessage="1" prompt="Teknologi utk Keperluan Lainnya - 1. Sudah_x000a_0. Belum" sqref="G157:G164" xr:uid="{00000000-0002-0000-0100-000044000000}">
      <formula1>"1,0"</formula1>
    </dataValidation>
    <dataValidation type="decimal" allowBlank="1" showErrorMessage="1" sqref="G150" xr:uid="{00000000-0002-0000-0100-000045000000}">
      <formula1>0</formula1>
      <formula2>24</formula2>
    </dataValidation>
    <dataValidation type="list" allowBlank="1" showInputMessage="1" showErrorMessage="1" prompt="Fasilitas Layanan Kredit KUK - 1. Ada_x000a_0. Tidak Ada" sqref="G449" xr:uid="{00000000-0002-0000-0100-000046000000}">
      <formula1>"1,0"</formula1>
    </dataValidation>
    <dataValidation type="list" showInputMessage="1" showErrorMessage="1" promptTitle="Transp Pustu/Poskesdes/Polindes" prompt="1: Ada_x000a_2: Tidak Ada" sqref="F245 F237" xr:uid="{00000000-0002-0000-0100-000047000000}">
      <formula1>"1,2"</formula1>
    </dataValidation>
    <dataValidation type="list" showInputMessage="1" showErrorMessage="1" promptTitle="Transportasi ke Mitigasi Bencana" prompt="1: Ada_x000a_2:  Tidak Ada" sqref="F522" xr:uid="{00000000-0002-0000-0100-000048000000}">
      <formula1>"1,2"</formula1>
    </dataValidation>
    <dataValidation type="list" showInputMessage="1" showErrorMessage="1" promptTitle="Waktu Tempuh Mitigasi Bencana" prompt="1: 0 - 1 Menit_x000a_2: &gt;1 - 10 Menit_x000a_3: &gt;10  Menit" sqref="F521" xr:uid="{00000000-0002-0000-0100-000049000000}">
      <formula1>"1,2,3"</formula1>
    </dataValidation>
    <dataValidation type="list" showInputMessage="1" showErrorMessage="1" promptTitle="Jarak Menuju Mitigasi Bencana" prompt="1: 0 - 0,1 Km_x000a_2: &gt;0,1 - 3 Km_x000a_3: &gt;3 Km" sqref="F520" xr:uid="{00000000-0002-0000-0100-00004A000000}">
      <formula1>"1,2,3"</formula1>
    </dataValidation>
    <dataValidation type="whole" showInputMessage="1" showErrorMessage="1" promptTitle="Publikasi APBDes Pertahun" prompt="(Diisi Angka)" sqref="F158" xr:uid="{00000000-0002-0000-0100-00004B000000}">
      <formula1>0</formula1>
      <formula2>12</formula2>
    </dataValidation>
    <dataValidation type="list" allowBlank="1" showInputMessage="1" showErrorMessage="1" promptTitle="Inventarisasi Aset Desa" prompt="1: Belum_x000a_5: Sudah" sqref="F156 F158" xr:uid="{00000000-0002-0000-0100-00004C000000}">
      <formula1>"1,5"</formula1>
    </dataValidation>
    <dataValidation allowBlank="1" showInputMessage="1" showErrorMessage="1" promptTitle="Produktivitas Kepemilikan Aset" prompt="1: Aset desa produktif 0-20 % _x000a_2: Aset desa produktif &gt;20 - 40 % _x000a_3: Aset desa produktif &gt;40 - 60 %_x000a_4: Aset desa produktif &gt;60 - 80 %_x000a_5: Aset desa produktif &gt;80 - 100 %" sqref="F155" xr:uid="{00000000-0002-0000-0100-00004D000000}"/>
    <dataValidation type="list" showInputMessage="1" showErrorMessage="1" promptTitle="keberadaan Aset Lainnya" prompt="1: Tidak Ada_x000a_3: Ada, tidak produktif untuk Kepentingan Masyarakat_x000a_5: Ada, produktif untuk Kepentingan Masyarakat" sqref="F154" xr:uid="{00000000-0002-0000-0100-00004E000000}">
      <formula1>"1,3,5"</formula1>
    </dataValidation>
    <dataValidation type="whole" showInputMessage="1" showErrorMessage="1" promptTitle="Besaran Dana Desa 2024" prompt="diisi dengan angka" sqref="F146" xr:uid="{00000000-0002-0000-0100-00004F000000}">
      <formula1>0</formula1>
      <formula2>1500000000</formula2>
    </dataValidation>
    <dataValidation type="list" allowBlank="1" showInputMessage="1" showErrorMessage="1" promptTitle="Penyertaan Modal Bumdes dari DD" prompt="1: Tidak_x000a_5: Ya" sqref="F145" xr:uid="{00000000-0002-0000-0100-000050000000}">
      <formula1>"1,5"</formula1>
    </dataValidation>
    <dataValidation allowBlank="1" showInputMessage="1" showErrorMessage="1" promptTitle="Peningkatan PADes" prompt="1: Menurun_x000a_2: Tetap_x000a_4: Ya, meningkat 0-1%_x000a_5: Ya, meningkat &gt;1%" sqref="F144" xr:uid="{00000000-0002-0000-0100-000051000000}"/>
    <dataValidation type="list" allowBlank="1" showInputMessage="1" showErrorMessage="1" promptTitle="Terdapat Pendapatan Asli Desa" prompt="1: Tidak Ada_x000a_5: Ada" sqref="F136" xr:uid="{00000000-0002-0000-0100-000052000000}">
      <formula1>"1,5"</formula1>
    </dataValidation>
    <dataValidation type="list" showInputMessage="1" showErrorMessage="1" promptTitle="Usulan Kel Perempuan/Marjinal" prompt="Ada_x000a_Tidak Ada" sqref="F113" xr:uid="{00000000-0002-0000-0100-000053000000}">
      <formula1>"Ada,Tidak Ada"</formula1>
    </dataValidation>
    <dataValidation type="list" showInputMessage="1" showErrorMessage="1" promptTitle="Usulan Musdes Advokasi Pihak-3" prompt="Ada_x000a_Tidak Ada" sqref="F112" xr:uid="{00000000-0002-0000-0100-000054000000}">
      <formula1>"Ada, Tidak Ada"</formula1>
    </dataValidation>
    <dataValidation type="list" allowBlank="1" showInputMessage="1" showErrorMessage="1" promptTitle="Akomodir Usulan Perencanaan Desa" prompt="0: Usulan dalam Musdes tidak diakomodir dalam dokumen perencanaan desa_x000a_1: Usulan dalam Musdes diakomodir dalam dokumen perencanaan desa" sqref="F111" xr:uid="{00000000-0002-0000-0100-000055000000}">
      <formula1>"0,1"</formula1>
    </dataValidation>
    <dataValidation type="list" showInputMessage="1" showErrorMessage="1" promptTitle="Unsur Masyarakat Ikut Musdes" prompt="1: Tidak Ada_x000a_5: Ada" sqref="F109" xr:uid="{00000000-0002-0000-0100-000056000000}">
      <formula1>IF(SUM($F$106:$F$107)=0,satu,satudanlima)</formula1>
    </dataValidation>
    <dataValidation type="custom" showInputMessage="1" showErrorMessage="1" error="Jlh Musdes Terancana dan Insidental harus sesuai Range Jumlah MusDes di Desa" promptTitle="Jumlah Musyawarah Insidental" prompt="( Diisi Angka)" sqref="F107" xr:uid="{00000000-0002-0000-0100-000057000000}">
      <formula1>IF(F105=1,(F106+F107)&lt;=2,IF(F105=2,AND((F106+F107)&gt;=3,(F106+F107)&lt;=4),IF(F105=3,AND((F106+F107)&gt;=5,(F106+F107)&lt;=6),IF(F105=4,AND((F106+F107)&gt;=7,(F106+F107)&lt;=9),IF(F105=5,AND((F106+F107)&gt;=10,(F106+F107)&lt;=12))))))</formula1>
    </dataValidation>
    <dataValidation allowBlank="1" showInputMessage="1" showErrorMessage="1" promptTitle="Frekuensi Musyawarah Desa" prompt="1: Terlaksana 0-2 kali musdes_x000a_2: Terlaksana 3-4 kali musdes_x000a_3: Terlaksana 5-6 kali musdes_x000a_4: Terlaksana 7-9 kali musdes_x000a_5: Terlaksana &gt;=10 kali musdes_x000a__x000a_(IDM S 363.c)" sqref="F107" xr:uid="{00000000-0002-0000-0100-000058000000}"/>
    <dataValidation type="list" allowBlank="1" showInputMessage="1" showErrorMessage="1" promptTitle="Metode Publikasi Informa/Layanan" prompt="Secara Digital_x000a_Secara Konvensional" sqref="F103" xr:uid="{00000000-0002-0000-0100-000059000000}">
      <formula1>"Secara Digital, Secara Konvensional"</formula1>
    </dataValidation>
    <dataValidation type="list" allowBlank="1" showInputMessage="1" showErrorMessage="1" promptTitle="Pelayanan Lainnya utk Masyarakat" prompt="1: Belum_x000a_5: Sudah" sqref="F102" xr:uid="{00000000-0002-0000-0100-00005A000000}">
      <formula1>"1,5"</formula1>
    </dataValidation>
    <dataValidation type="list" allowBlank="1" showInputMessage="1" showErrorMessage="1" promptTitle="Pelayanan Pengaduan Masyarakat" prompt="1: Belum_x000a_5: Sudah" sqref="F101" xr:uid="{00000000-0002-0000-0100-00005B000000}">
      <formula1>"1,5"</formula1>
    </dataValidation>
    <dataValidation type="list" allowBlank="1" showInputMessage="1" showErrorMessage="1" promptTitle="Pelayanan Administrasi Masyarakt" prompt="1: Belum_x000a_5: Sudah" sqref="F100" xr:uid="{00000000-0002-0000-0100-00005C000000}">
      <formula1>"1,5"</formula1>
    </dataValidation>
    <dataValidation type="list" allowBlank="1" showInputMessage="1" showErrorMessage="1" promptTitle="Publikasi Informasi Pelayanan" prompt="1: Belum_x000a_5: Sudah" sqref="F99" xr:uid="{00000000-0002-0000-0100-00005D000000}">
      <formula1>"1,5"</formula1>
    </dataValidation>
    <dataValidation type="list" showInputMessage="1" showErrorMessage="1" promptTitle="Terdapat Lembaga Adat Desa" prompt="Ada_x000a_Tidak Ada" sqref="F96" xr:uid="{00000000-0002-0000-0100-00005E000000}">
      <formula1>"Ada, Tidak Ada"</formula1>
    </dataValidation>
    <dataValidation type="list" allowBlank="1" showInputMessage="1" showErrorMessage="1" promptTitle="Punya SOP Pelayanan Masyarakat" prompt="Sudah_x000a_Belum" sqref="F92" xr:uid="{00000000-0002-0000-0100-00005F000000}">
      <formula1>"Sudah, Belum"</formula1>
    </dataValidation>
    <dataValidation type="list" showInputMessage="1" showErrorMessage="1" promptTitle="Peraturan Desa Kewenangan Desa" prompt="Sudah_x000a_Belum" sqref="F90" xr:uid="{00000000-0002-0000-0100-000060000000}">
      <formula1>"Sudah, Belum"</formula1>
    </dataValidation>
    <dataValidation type="list" showInputMessage="1" showErrorMessage="1" promptTitle="Peraturan Bupati Kewenangan Desa" prompt="Sudah_x000a_Belum" sqref="F89" xr:uid="{00000000-0002-0000-0100-000061000000}">
      <formula1>"Sudah, Belum"</formula1>
    </dataValidation>
    <dataValidation type="list" showInputMessage="1" showErrorMessage="1" promptTitle="Adminsitrasi Lainnya" prompt="Sudah_x000a_Belum" sqref="F83" xr:uid="{00000000-0002-0000-0100-000062000000}">
      <formula1>"Sudah, Belum"</formula1>
    </dataValidation>
    <dataValidation type="list" showInputMessage="1" showErrorMessage="1" promptTitle="Adminsitrasi Pembangunan desa" prompt="Sudah_x000a_Belum" sqref="F77" xr:uid="{00000000-0002-0000-0100-000063000000}">
      <formula1>"Sudah, Belum"</formula1>
    </dataValidation>
    <dataValidation type="list" allowBlank="1" showInputMessage="1" showErrorMessage="1" promptTitle="Adminsitrasi Keuangan desa" prompt="Sudah_x000a_Belum" sqref="F69" xr:uid="{00000000-0002-0000-0100-000064000000}">
      <formula1>"Sudah, Belum"</formula1>
    </dataValidation>
    <dataValidation type="list" allowBlank="1" showInputMessage="1" showErrorMessage="1" promptTitle="Adminsitrasi Kependudukan" prompt="Sudah_x000a_Belum" sqref="F62" xr:uid="{00000000-0002-0000-0100-000065000000}">
      <formula1>"Sudah, Belum"</formula1>
    </dataValidation>
    <dataValidation type="list" allowBlank="1" showInputMessage="1" showErrorMessage="1" promptTitle="Dilaksanakan Adminsitrasi Umum" prompt="Sudah_x000a_Belum" sqref="F52" xr:uid="{00000000-0002-0000-0100-000066000000}">
      <formula1>"Sudah, Belum"</formula1>
    </dataValidation>
    <dataValidation type="list" showInputMessage="1" showErrorMessage="1" promptTitle="Pelayanan dan Administrasi desa" prompt="1: Kurang dari hari kerja_x000a_3: Hanya di Hari Kerja_x000a_5: Setiap Hari" sqref="F50" xr:uid="{00000000-0002-0000-0100-000067000000}">
      <formula1>"1,3,5"</formula1>
    </dataValidation>
    <dataValidation type="list" showInputMessage="1" showErrorMessage="1" promptTitle="Trayek Tranportasi Kapal" prompt="Ada_x000a_Tidak Ada" sqref="F550" xr:uid="{00000000-0002-0000-0100-000068000000}">
      <formula1>IF(OR($F$541="",$F$541=1),tidakada,adatidak)</formula1>
    </dataValidation>
    <dataValidation type="list" showInputMessage="1" showErrorMessage="1" promptTitle="Trayek Tranportasi Perahu" prompt="Ada_x000a_Tidak Ada" sqref="F549" xr:uid="{00000000-0002-0000-0100-000069000000}">
      <formula1>IF(OR($F$541="",$F$541=1),tidakada,adatidak)</formula1>
    </dataValidation>
    <dataValidation type="list" showInputMessage="1" showErrorMessage="1" promptTitle="Trayek Tranportasi Bentor" prompt="Ada_x000a_Tidak Ada" sqref="F548" xr:uid="{00000000-0002-0000-0100-00006A000000}">
      <formula1>IF(OR($F$541="",$F$541=1),tidakada,adatidak)</formula1>
    </dataValidation>
    <dataValidation type="list" showInputMessage="1" showErrorMessage="1" promptTitle="Trayek Tranportasi Becak" prompt="Ada_x000a_Tidak Ada" sqref="F547" xr:uid="{00000000-0002-0000-0100-00006B000000}">
      <formula1>IF(OR($F$541="",$F$541=1),tidakada,adatidak)</formula1>
    </dataValidation>
    <dataValidation type="list" showInputMessage="1" showErrorMessage="1" promptTitle="Transportasi Ojek Pangkalan" prompt="Ada_x000a_Tidak Ada" sqref="F546" xr:uid="{00000000-0002-0000-0100-00006C000000}">
      <formula1>IF(OR($F$541="",$F$541=1),tidakada,adatidak)</formula1>
    </dataValidation>
    <dataValidation type="list" showInputMessage="1" showErrorMessage="1" promptTitle="Trayek Tranportasi Taksi" prompt="Ada_x000a_Tidak Ada" sqref="F545" xr:uid="{00000000-0002-0000-0100-00006D000000}">
      <formula1>IF(OR($F$541="",$F$541=1),tidakada,adatidak)</formula1>
    </dataValidation>
    <dataValidation type="list" showInputMessage="1" showErrorMessage="1" promptTitle="Tranportasi Online di Desa" prompt="Ada_x000a_Tidak Ada" sqref="F551" xr:uid="{00000000-0002-0000-0100-00006E000000}">
      <formula1>IF(OR($F$541="",$F$541=1),tidakada,adatidak)</formula1>
    </dataValidation>
    <dataValidation type="list" showInputMessage="1" showErrorMessage="1" promptTitle="Operasional Angkutan Perdesaan" prompt="1: Tidak ada Transportasi Umum_x000a_2: Beroperasi 1-3 hari dalam seminggu_x000a_4: Beroperasi 4-6 hari dlm 1 minggu_x000a_5: Beroperasi setiap hari dalam seminggu" sqref="F542" xr:uid="{00000000-0002-0000-0100-00006F000000}">
      <formula1>IF(OR($F$541="",$F$541=1),satu,duaempatlima)</formula1>
    </dataValidation>
    <dataValidation type="list" showInputMessage="1" showErrorMessage="1" promptTitle="Keberadaan Angkutan Perdesaan" prompt="1: Tidak ada Angkutan Umum_x000a_5: Ada Angkutan Umum" sqref="F541" xr:uid="{00000000-0002-0000-0100-000070000000}">
      <formula1>"1,5"</formula1>
    </dataValidation>
    <dataValidation type="list" showInputMessage="1" showErrorMessage="1" promptTitle="Tersedia Penerangan Jalan Umum" prompt="1: Tidak terdapat PJU_x000a_5: Terdapat PJU" sqref="F537" xr:uid="{00000000-0002-0000-0100-000071000000}">
      <formula1>"1,5"</formula1>
    </dataValidation>
    <dataValidation type="list" showInputMessage="1" showErrorMessage="1" promptTitle="Jenis Permukaan Jalan di desa" prompt="1: Tanah_x000a_3: Diperkeras (kerikil, batu, dll)/ Jalan Terapung Kayu (semi permanen)_x000a_5: Aspal/beton/Jalan Terapung Permanen" sqref="F529" xr:uid="{00000000-0002-0000-0100-000072000000}">
      <formula1>"1,3,5"</formula1>
    </dataValidation>
    <dataValidation type="list" allowBlank="1" showInputMessage="1" showErrorMessage="1" promptTitle="Faslitas Tanggap Darurat Bencana" prompt="1: Tidak tersedia titik evakuasi, pos keamanan bencana dan alat kesiapsiagaan bencana_x000a_5: Tersedia titik evakuasi, pos keamanan bencana dan alat kesiapsiagaan bencana" sqref="F525" xr:uid="{00000000-0002-0000-0100-000073000000}">
      <formula1>"1,5"</formula1>
    </dataValidation>
    <dataValidation type="list" allowBlank="1" showInputMessage="1" showErrorMessage="1" promptTitle="Mitigasi &amp; Rehabilitasi Bencana" prompt="1: Tidak ada program penanggulangan bencana_x000a_3: Ada program penanggulangan bencana dalam dokumen perencanaan desa dan tidak terealisasi_x000a_5: Ada Program penanggulangan bencana dalam dokumen perencanaan desa dan terealisasi" sqref="F524" xr:uid="{00000000-0002-0000-0100-000074000000}">
      <formula1>"1,3,5"</formula1>
    </dataValidation>
    <dataValidation type="list" showInputMessage="1" showErrorMessage="1" promptTitle="Ketersediaan Informasi Bencana" prompt="1: Tidak tersedia data kejadian bencana, indeks resiko bencana dan peta rawan bencana_x000a_5: Tersedia data kejadian bencana, indeks resiko bencana dan peta rawan bencana" sqref="F516" xr:uid="{00000000-0002-0000-0100-000075000000}">
      <formula1>"1,5"</formula1>
    </dataValidation>
    <dataValidation allowBlank="1" showInputMessage="1" showErrorMessage="1" promptTitle="Rara-rata Pencemaran Lingkingan" prompt="5: Skor pencemaran lingkungan bernilai 0_x000a_4: Skor pencemaran lingkungan bernilai &lt;0.5_x000a_2: Skor pencemaran lingkungan bernilai ≥0,5 _x000a_1: Skor pencemaran lingkungan bernilai 1" sqref="F493" xr:uid="{00000000-0002-0000-0100-000076000000}"/>
    <dataValidation type="list" allowBlank="1" showInputMessage="1" showErrorMessage="1" promptTitle="Pemanfaatan Sampah yg Dilakukan" prompt="1: Tidak dimanfaatkan_x000a_5: Dimanfaatkan dan memiliki nilai jual" sqref="F486" xr:uid="{00000000-0002-0000-0100-000077000000}">
      <formula1>"1,5"</formula1>
    </dataValidation>
    <dataValidation type="list" allowBlank="1" showInputMessage="1" showErrorMessage="1" promptTitle="Pengolahan Sampah yg Dilakukan" prompt="1: Tidak diolah_x000a_5: Diolah" sqref="F484" xr:uid="{00000000-0002-0000-0100-000078000000}">
      <formula1>"1,5"</formula1>
    </dataValidation>
    <dataValidation type="list" allowBlank="1" showInputMessage="1" showErrorMessage="1" promptTitle="Tempat Pembuangan Sampah di desa" prompt="1: Tidak dibuang ke tempat penampungan sampah_x000a_5: Dibuang ke tempat penampungan sampah" sqref="F481" xr:uid="{00000000-0002-0000-0100-000079000000}">
      <formula1>"1,5"</formula1>
    </dataValidation>
    <dataValidation type="list" allowBlank="1" showInputMessage="1" showErrorMessage="1" promptTitle="Kegiatan Pelestarian Lingkungan" prompt="1: Tidak Ada_x000a_5: Ada" sqref="F477" xr:uid="{00000000-0002-0000-0100-00007A000000}">
      <formula1>"1,5"</formula1>
    </dataValidation>
    <dataValidation type="list" allowBlank="1" showInputMessage="1" showErrorMessage="1" promptTitle="Peraturan Pelestarian Lingkungan" prompt="1: Tidak Ada_x000a_5: Ada" sqref="F476" xr:uid="{00000000-0002-0000-0100-00007B000000}">
      <formula1>"1,5"</formula1>
    </dataValidation>
    <dataValidation type="list" showInputMessage="1" showErrorMessage="1" promptTitle="Upaya Pelestarian Lingkungan" prompt="1: Tidak ada_x000a_3: Terdapat hanya 1 kearifan lingkungan yang dijaga/ dipertahankan/ dilestarikan_x000a_5: Terdapat lebih dari 1 kearifan lingkungan yang dijaga/ dipertahankan/ dilestarikan" sqref="F474" xr:uid="{00000000-0002-0000-0100-00007C000000}">
      <formula1>"1,3,5"</formula1>
    </dataValidation>
    <dataValidation type="list" showInputMessage="1" showErrorMessage="1" promptTitle="Hari Operasional Layanan Bank" prompt="1: Tidak terdapat layanan perbankan_x000a_2: Waktu pelayanan tidak pasti_x000a_3: Beroperasi 1-3 hari seminggu_x000a_4: Beroperasi 4-5 hari seminggu_x000a_5: Beroperasi &gt;5 hari seminggu" sqref="F463:F464" xr:uid="{00000000-0002-0000-0100-00007D000000}">
      <formula1>IF(OR($F$462="",$F$462=1),satu,dualima)</formula1>
    </dataValidation>
    <dataValidation type="list" showInputMessage="1" showErrorMessage="1" promptTitle="Transportasi ke Pos dan Logistik" prompt="1: Ada_x000a_2: Tidak Ada" sqref="F447" xr:uid="{00000000-0002-0000-0100-00007E000000}">
      <formula1>"1,2"</formula1>
    </dataValidation>
    <dataValidation type="list" showInputMessage="1" showErrorMessage="1" promptTitle="Transportasi ke Penginapan" prompt="1: Ada_x000a_2: Tidak Ada" sqref="F441" xr:uid="{00000000-0002-0000-0100-00007F000000}">
      <formula1>"1,2"</formula1>
    </dataValidation>
    <dataValidation type="list" showInputMessage="1" showErrorMessage="1" promptTitle="T'sedia Transportasi ke Kedai/RM" prompt="1: Ada_x000a_2: Tidak Ada" sqref="F435" xr:uid="{00000000-0002-0000-0100-000080000000}">
      <formula1>"1,2"</formula1>
    </dataValidation>
    <dataValidation type="list" showInputMessage="1" showErrorMessage="1" promptTitle="Tersedia Transportasi ke Toko" prompt="1: Ada_x000a_2: Tidak Ada" sqref="F429" xr:uid="{00000000-0002-0000-0100-000081000000}">
      <formula1>"1,2"</formula1>
    </dataValidation>
    <dataValidation type="list" showInputMessage="1" showErrorMessage="1" promptTitle="Jarak (Meter) ke Kedai/ RM" prompt="1: 0 - 0,35 Km_x000a_2: &gt;0,35 Km - 5 Km_x000a_3: &gt;5 Km" sqref="F433" xr:uid="{00000000-0002-0000-0100-000082000000}">
      <formula1>"1,2,3"</formula1>
    </dataValidation>
    <dataValidation type="list" showInputMessage="1" showErrorMessage="1" promptTitle="Waktu Tempuh (Menit) ke Kedai/RM" prompt="1: 0 - 2 Menit_x000a_2: &gt;2 - 15 Menit_x000a_3: &gt;15 Menit" sqref="F434" xr:uid="{00000000-0002-0000-0100-000083000000}">
      <formula1>"1,2,3"</formula1>
    </dataValidation>
    <dataValidation type="list" showInputMessage="1" showErrorMessage="1" promptTitle="Waktu Tempuh (Menit) ke Toko" prompt="1: 0 - 3 Menit_x000a_2: &gt;3 - 15 Menit_x000a_3: &gt;15 Menit" sqref="F428" xr:uid="{00000000-0002-0000-0100-000084000000}">
      <formula1>"1,2,3"</formula1>
    </dataValidation>
    <dataValidation type="list" showInputMessage="1" showErrorMessage="1" promptTitle="Waktu Tempuh (Menit) ke Pasar" prompt="1: 0 - 2 Menit_x000a_2: &gt;2 - 10 Menit_x000a_3: &gt;10 Menit" sqref="F422" xr:uid="{00000000-0002-0000-0100-000085000000}">
      <formula1>"1,2,3"</formula1>
    </dataValidation>
    <dataValidation type="list" showInputMessage="1" showErrorMessage="1" promptTitle="Jarak (Meter) ke Pasar" prompt="1: 0 - 0,2 Km_x000a_2: &gt;0,2 - 3 Km_x000a_3: &gt;3 Km" sqref="F421" xr:uid="{00000000-0002-0000-0100-000086000000}">
      <formula1>"1,2,3"</formula1>
    </dataValidation>
    <dataValidation type="list" showInputMessage="1" showErrorMessage="1" promptTitle="Tersedia Transportasi ke Pasar" prompt="1: Ada_x000a_2: Tidak Ada" sqref="F423" xr:uid="{00000000-0002-0000-0100-000087000000}">
      <formula1>"1,2"</formula1>
    </dataValidation>
    <dataValidation type="list" allowBlank="1" showInputMessage="1" showErrorMessage="1" promptTitle="Kerjasama Antar Desa" prompt="1: Belum_x000a_5: Sudah" sqref="F411" xr:uid="{00000000-0002-0000-0100-000088000000}">
      <formula1>"1,5"</formula1>
    </dataValidation>
    <dataValidation type="list" allowBlank="1" showInputMessage="1" showErrorMessage="1" promptTitle="Kearifan Lokal/Budaya utk Ekonom" prompt="1: Tidak Ada_x000a_5: Ada" sqref="F408" xr:uid="{00000000-0002-0000-0100-000089000000}">
      <formula1>"1,5"</formula1>
    </dataValidation>
    <dataValidation type="list" showInputMessage="1" showErrorMessage="1" promptTitle="Tersedia Merek Dagang" prompt="1: Merek dagang tidak terdaftar_x000a_5: Merek dagang terdaftar" sqref="F406" xr:uid="{00000000-0002-0000-0100-00008A000000}">
      <formula1>IF(OR($F$404="",$F$404=1),satu,satudanlima)</formula1>
    </dataValidation>
    <dataValidation type="list" showInputMessage="1" showErrorMessage="1" promptTitle="Cakupan Produk Unggulan Desa" prompt="1: Penjualan masih di dalam desa_x000a_5: Penjualan sudah sampai ke luar desa" sqref="F405" xr:uid="{00000000-0002-0000-0100-00008B000000}">
      <formula1>IF(OR($F$404="",$F$404=1),satu,satudanlima)</formula1>
    </dataValidation>
    <dataValidation type="list" allowBlank="1" showInputMessage="1" showErrorMessage="1" promptTitle="Tersedia Produk Unggulan Desa" prompt="1: Tidak Ada_x000a_5: Ada" sqref="F404" xr:uid="{00000000-0002-0000-0100-00008C000000}">
      <formula1>"1,5"</formula1>
    </dataValidation>
    <dataValidation type="list" allowBlank="1" showInputMessage="1" showErrorMessage="1" promptTitle="Kearifan Aktivitas Ekonomi Desa" prompt="1: Tidak aktif (tidak memiliki produk/jasa yang dihasilkan)_x000a_5: Aktif (memiliki produk/jasa yang dihasilkan)" sqref="F402" xr:uid="{00000000-0002-0000-0100-00008D000000}">
      <formula1>"1,5"</formula1>
    </dataValidation>
    <dataValidation type="list" allowBlank="1" showInputMessage="1" showErrorMessage="1" promptTitle="Keragaman Aktivitas Ekonomi desa" prompt="1: Terdapat 1 sektor/aktivitas_x000a_3: Terdapat 2 sektor/aktivitas_x000a_5: Terdapat &gt;2 sektor/aktivitas" sqref="F401" xr:uid="{00000000-0002-0000-0100-00008E000000}">
      <formula1>"1,3,5"</formula1>
    </dataValidation>
    <dataValidation type="list" allowBlank="1" showInputMessage="1" showErrorMessage="1" promptTitle="RTNH Lainnya" prompt="1: Tidak ada fasilitas_x000a_2: Ada, kondisi rusak parah_x000a_3: Ada, Kondisi rusak sedang_x000a_4: Ada, kondisi rusak ringan_x000a_5: Ada, kondisi baik" sqref="F397" xr:uid="{00000000-0002-0000-0100-00008F000000}">
      <formula1>"1,2,3,4,5"</formula1>
    </dataValidation>
    <dataValidation type="list" allowBlank="1" showInputMessage="1" showErrorMessage="1" promptTitle="RTNH Landmark" prompt="1: Tidak ada fasilitas_x000a_2: Ada, kondisi rusak parah_x000a_3: Ada, Kondisi rusak sedang_x000a_4: Ada, kondisi rusak ringan_x000a_5: Ada, kondisi baik" sqref="F396" xr:uid="{00000000-0002-0000-0100-000090000000}">
      <formula1>"1,2,3,4,5"</formula1>
    </dataValidation>
    <dataValidation type="list" allowBlank="1" showInputMessage="1" showErrorMessage="1" promptTitle="RTNH Pelataran" prompt="1: Tidak ada fasilitas_x000a_2: Ada, kondisi rusak parah_x000a_3: Ada, Kondisi rusak sedang_x000a_4: Ada, kondisi rusak ringan_x000a_5: Ada, kondisi baik" sqref="F395" xr:uid="{00000000-0002-0000-0100-000091000000}">
      <formula1>"1,2,3,4,5"</formula1>
    </dataValidation>
    <dataValidation type="list" showInputMessage="1" showErrorMessage="1" promptTitle="RTH Hutan Desa" prompt="1: Tidak ada fasilitas_x000a_2: Ada, kondisi rusak parah_x000a_3: Ada, Kondisi rusak sedang_x000a_4: Ada, kondisi rusak ringan_x000a_5: Ada, kondisi baik" sqref="F393" xr:uid="{00000000-0002-0000-0100-000092000000}">
      <formula1>"1,2,3,4,5"</formula1>
    </dataValidation>
    <dataValidation type="list" allowBlank="1" showInputMessage="1" showErrorMessage="1" promptTitle="RTH Jalur Hijau Jalan/Sungai/" prompt="1: Tidak ada fasilitas_x000a_2: Ada, kondisi rusak parah_x000a_3: Ada, Kondisi rusak sedang_x000a_4: Ada, kondisi rusak ringan_x000a_5: Ada, kondisi baik" sqref="F392" xr:uid="{00000000-0002-0000-0100-000093000000}">
      <formula1>"1,2,3,4,5"</formula1>
    </dataValidation>
    <dataValidation type="list" allowBlank="1" showInputMessage="1" showErrorMessage="1" promptTitle="RTH Taman Desa" prompt="1: Tidak ada fasilitas_x000a_2: Ada, kondisi rusak parah_x000a_3: Ada, Kondisi rusak sedang_x000a_4: Ada, kondisi rusak ringan_x000a_5: Ada, kondisi baik" sqref="F391" xr:uid="{00000000-0002-0000-0100-000094000000}">
      <formula1>"1,2,3,4,5"</formula1>
    </dataValidation>
    <dataValidation allowBlank="1" showInputMessage="1" showErrorMessage="1" promptTitle="Kondisi Ruang Publik Terbuka" prompt="1: Rata-rata tidak terdapat fasilitas_x000a_2: Rata-rata kondisi rusak parah_x000a_3: Rata-rata Kondisi rusak sedang_x000a_4: Rata-rata kondisi rusak ringan_x000a_5: Rata-rata kondisi baik" sqref="F389" xr:uid="{00000000-0002-0000-0100-000095000000}"/>
    <dataValidation type="list" showInputMessage="1" showErrorMessage="1" promptTitle="Tokoh Masy Menyelesaikan Konflik" prompt="1: Tidak Ada_x000a_5: Ada_x000a_" sqref="F368" xr:uid="{00000000-0002-0000-0100-000096000000}">
      <formula1>"1,5"</formula1>
    </dataValidation>
    <dataValidation type="list" showInputMessage="1" showErrorMessage="1" promptTitle="Pemerintah Menyelesaikan Konflik" prompt="1: Tidak Ada_x000a_5: Ada" sqref="F367" xr:uid="{00000000-0002-0000-0100-000097000000}">
      <formula1>"1,5"</formula1>
    </dataValidation>
    <dataValidation type="list" showInputMessage="1" showErrorMessage="1" promptTitle="Keamanan Menyelesaikan Konflik" prompt="1: Tidak Ada_x000a_5: Ada" sqref="F366" xr:uid="{00000000-0002-0000-0100-000098000000}">
      <formula1>"1,5"</formula1>
    </dataValidation>
    <dataValidation type="list" showInputMessage="1" showErrorMessage="1" promptTitle="Tokoh Agama Mnyelesaikan Konflik" prompt="1: Tidak Ada_x000a_5: Ada" sqref="F369" xr:uid="{00000000-0002-0000-0100-000099000000}">
      <formula1>"1,5"</formula1>
    </dataValidation>
    <dataValidation allowBlank="1" showInputMessage="1" showErrorMessage="1" errorTitle="CEK KONFLIK DI DESA 1 TAHUN" error="Batas isian Max 100 Kasus/tahun_x000a_Jika dalm 1 Tahun Terakhir TIDAK ADA konflik di Desa. Diisi angka 0 (NOL)" promptTitle="Jumlah Konflik Terkait Lahan" prompt="terisi secara otomatis by Sistem" sqref="F363" xr:uid="{00000000-0002-0000-0100-00009A000000}"/>
    <dataValidation allowBlank="1" showInputMessage="1" showErrorMessage="1" promptTitle="Frekuensi Keg Olahraga Perbulan " prompt="1: Rata-rataTidak Terdapat kegiatan_x000a_2: Rata-rata Terdapat 1 kali kegiatan_x000a_3: Rata-rata Terdapat 2-3 kali kegiatan_x000a_4: Rata-rata Terdapat 4-5 kali kegiatan_x000a_5: Rata-rata Terdapat &gt;5 kali kegiatan" sqref="F347" xr:uid="{00000000-0002-0000-0100-00009B000000}"/>
    <dataValidation type="list" allowBlank="1" showInputMessage="1" showErrorMessage="1" promptTitle="Terdapat Keg OR Tenis Meja" prompt="1. Tidak terdapat Kegiatan_x000a_2. Terdapat 1 Kali Kegiatan_x000a_3. Terdapat 2-3 Kali Kegiatan_x000a_4. Terdapat 4-5 Kali Kegiatan_x000a_5. Terdapat &gt;5 Kali Kegiatan" sqref="F346" xr:uid="{00000000-0002-0000-0100-00009C000000}">
      <formula1>"1,2,3,4,5"</formula1>
    </dataValidation>
    <dataValidation type="list" allowBlank="1" showInputMessage="1" showErrorMessage="1" promptTitle="Terdapat Keg OR Renang" prompt="1. Tidak terdapat Kegiatan_x000a_2. Terdapat 1 Kali Kegiatan_x000a_3. Terdapat 2-3 Kali Kegiatan_x000a_4. Terdapat 4-5 Kali Kegiatan_x000a_5. Terdapat &gt;5 Kali Kegiatan" sqref="F345" xr:uid="{00000000-0002-0000-0100-00009D000000}">
      <formula1>"1,2,3,4,5"</formula1>
    </dataValidation>
    <dataValidation type="list" allowBlank="1" showInputMessage="1" showErrorMessage="1" promptTitle="Terdapat Keg OR Futsal" prompt="1. Tidak terdapat Kegiatan_x000a_2. Terdapat 1 Kali Kegiatan_x000a_3. Terdapat 2-3 Kali Kegiatan_x000a_4. Terdapat 4-5 Kali Kegiatan_x000a_5. Terdapat &gt;5 Kali Kegiatan" sqref="F344" xr:uid="{00000000-0002-0000-0100-00009E000000}">
      <formula1>"1,2,3,4,5"</formula1>
    </dataValidation>
    <dataValidation type="list" allowBlank="1" showInputMessage="1" showErrorMessage="1" promptTitle="Terdapat Keg OR Tenis Lapangan" prompt="1. Tidak terdapat Kegiatan_x000a_2. Terdapat 1 Kali Kegiatan_x000a_3. Terdapat 2-3 Kali Kegiatan_x000a_4. Terdapat 4-5 Kali Kegiatan_x000a_5. Terdapat &gt;5 Kali Kegiatan" sqref="F343" xr:uid="{00000000-0002-0000-0100-00009F000000}">
      <formula1>"1,2,3,4,5"</formula1>
    </dataValidation>
    <dataValidation type="list" allowBlank="1" showInputMessage="1" showErrorMessage="1" promptTitle="Terdapat Keg OR Basket" prompt="1. Tidak terdapat Kegiatan_x000a_2. Terdapat 1 Kali Kegiatan_x000a_3. Terdapat 2-3 Kali Kegiatan_x000a_4. Terdapat 4-5 Kali Kegiatan_x000a_5. Terdapat &gt;5 Kali Kegiatan" sqref="F342" xr:uid="{00000000-0002-0000-0100-0000A0000000}">
      <formula1>"1,2,3,4,5"</formula1>
    </dataValidation>
    <dataValidation type="list" allowBlank="1" showInputMessage="1" showErrorMessage="1" promptTitle="Terdapat Keg OR Bulutangkis" prompt="1. Tidak terdapat Kegiatan_x000a_2. Terdapat 1 Kali Kegiatan_x000a_3. Terdapat 2-3 Kali Kegiatan_x000a_4. Terdapat 4-5 Kali Kegiatan_x000a_5. Terdapat &gt;5 Kali Kegiatan" sqref="F341" xr:uid="{00000000-0002-0000-0100-0000A1000000}">
      <formula1>"1,2,3,4,5"</formula1>
    </dataValidation>
    <dataValidation type="list" allowBlank="1" showInputMessage="1" showErrorMessage="1" promptTitle="Terdapat Keg OR Voli" prompt="1. Tidak terdapat Kegiatan_x000a_2. Terdapat 1 Kali Kegiatan_x000a_3. Terdapat 2-3 Kali Kegiatan_x000a_4. Terdapat 4-5 Kali Kegiatan_x000a_5. Terdapat &gt;5 Kali Kegiatan" sqref="F340" xr:uid="{00000000-0002-0000-0100-0000A2000000}">
      <formula1>"1,2,3,4,5"</formula1>
    </dataValidation>
    <dataValidation type="list" allowBlank="1" showInputMessage="1" showErrorMessage="1" promptTitle="Terdapat Keg OR Sepak Bola" prompt="1. Tidak terdapat Kegiatan_x000a_2. Terdapat 1 Kali Kegiatan_x000a_3. Terdapat 2-3 Kali Kegiatan_x000a_4. Terdapat 4-5 Kali Kegiatan_x000a_5. Terdapat &gt;5 Kali Kegiatan" sqref="F339" xr:uid="{00000000-0002-0000-0100-0000A3000000}">
      <formula1>"1,2,3,4,5"</formula1>
    </dataValidation>
    <dataValidation type="list" showInputMessage="1" showErrorMessage="1" promptTitle="Terdapat Gotong Royong Ekonomi" prompt="Ada_x000a_Tidak Ada" sqref="F334" xr:uid="{00000000-0002-0000-0100-0000A4000000}">
      <formula1>IF(OR($F$330=1,$F$330=""),tidakada,adatidak)</formula1>
    </dataValidation>
    <dataValidation type="list" showInputMessage="1" showErrorMessage="1" promptTitle="T'dapat Gotong Royong Lingkungan" prompt="Ada_x000a_Tidak Ada" sqref="F333" xr:uid="{00000000-0002-0000-0100-0000A5000000}">
      <formula1>IF(OR($F$330=1,$F$330=""),tidakada,adatidak)</formula1>
    </dataValidation>
    <dataValidation type="list" showInputMessage="1" showErrorMessage="1" promptTitle="Terdapat Gotong Royong Sosial" prompt="Ada_x000a_Tidak Ada" sqref="F332" xr:uid="{00000000-0002-0000-0100-0000A6000000}">
      <formula1>IF(OR($F$330=1,$F$330=""),tidakada,adatidak)</formula1>
    </dataValidation>
    <dataValidation type="list" allowBlank="1" showInputMessage="1" showErrorMessage="1" promptTitle="Terdapat Gotong Royong di desa" prompt="1: Tidak Ada_x000a_5: Ada_x000a_" sqref="F330" xr:uid="{00000000-0002-0000-0100-0000A7000000}">
      <formula1>"1,5"</formula1>
    </dataValidation>
    <dataValidation type="list" showInputMessage="1" showErrorMessage="1" promptTitle="Kearifan Budaya dipertahankan" prompt="1: Tidak ada yang dipertahankan_x000a_3: Kurang dari 3 yang dipertahankan_x000a_5: Lebih dari 3 yang dipertahankan" sqref="F327" xr:uid="{00000000-0002-0000-0100-0000A8000000}">
      <formula1>IF(OR($F$325="",$F$325=1),satu,satutigalima)</formula1>
    </dataValidation>
    <dataValidation type="list" allowBlank="1" showInputMessage="1" showErrorMessage="1" promptTitle="Terdapat Kearifan Budaya/Sosial" prompt="1: Tidak Ada_x000a_5: Ada" sqref="F325" xr:uid="{00000000-0002-0000-0100-0000A9000000}">
      <formula1>"1,5"</formula1>
    </dataValidation>
    <dataValidation allowBlank="1" showInputMessage="1" showErrorMessage="1" promptTitle="% Rumah Tidak Layak Huni" prompt="1: &gt;80 - 100%_x000a_2: &gt;60 - 80%_x000a_3: &gt;40 - 60%_x000a_4: &gt;20 - 40% _x000a_5: 0-20% " sqref="F107 F349 F321 F357 F359" xr:uid="{00000000-0002-0000-0100-0000AA000000}"/>
    <dataValidation type="list" showInputMessage="1" showErrorMessage="1" promptTitle="Sumber Listrik Non-PLN" prompt="Tidak Ada_x000a_Swasta_x000a_Swadaya_x000a_Perseorangan" sqref="F565" xr:uid="{00000000-0002-0000-0100-0000AB000000}">
      <formula1>IF(COUNTIF(F556:F564,"Ada")=0,tidakada,nonpln)</formula1>
    </dataValidation>
    <dataValidation allowBlank="1" showInputMessage="1" showErrorMessage="1" error="(Jlh Rumah Belum Teraliri Listrik (Template) - Jlh Rumah di Desa)/ Jlh Rumah di Desa" promptTitle="Tersedia Pelayanan Listrik Rumah" prompt="1: Tidak Ada_x000a_3: Ada sebagian kecil (&lt;= 50% terakses)_x000a_5: Ada sebagian besar (&gt; 50 % terakses)_x000a_Unggah Template Rumah Tangga Belum Teraliri Listrik di Desa" sqref="F567" xr:uid="{00000000-0002-0000-0100-0000AC000000}"/>
    <dataValidation type="list" allowBlank="1" showInputMessage="1" showErrorMessage="1" promptTitle="Kualitas Air Minum Warga Desa" prompt="1: Tidak Layak (Berbau, Berwarna, &amp; Berasa)_x000a_5: Kualitas Layak (Tidak Berbau, Berwarna, &amp; Berasa)" sqref="F318" xr:uid="{00000000-0002-0000-0100-0000AD000000}">
      <formula1>"1,5"</formula1>
    </dataValidation>
    <dataValidation allowBlank="1" showInputMessage="1" showErrorMessage="1" promptTitle="Ketersedia &amp; Kepemilikan Jamban" prompt="1: Masih menggunakan jamban komunal_x000a_3: Sebagian kecil rumah tangga sudah memiliki jamban individu (&lt;50%)_x000a_5: Sebagian besar rumah tangga sudah memiliki jamban individu (≥50%)" sqref="F497" xr:uid="{00000000-0002-0000-0100-0000AE000000}"/>
    <dataValidation allowBlank="1" showInputMessage="1" showErrorMessage="1" promptTitle="Ketersedia Air Minum Warga desa" prompt="1: Sangat sedikit warga di desa  yang bisa mengakses air minum (&lt; 50% terakses)_x000a_3: Sebagian warga di desa  yang bisa mengakses air minum (50 -100% terakses)_x000a_5: Seluruh warga di desa sudah bisa mengakses air minum (100% terakses)" sqref="F315" xr:uid="{00000000-0002-0000-0100-0000AF000000}"/>
    <dataValidation type="list" showInputMessage="1" showErrorMessage="1" error="Sumber Air minum Warga Desa PDAM/Lainnya" promptTitle="Kemudahan Akses Air Minum Warga" prompt="1: Sulit (masih menggunakan 1 sumber mata air/masih menggunakan air tanah/Sumber Air Minum Bukan PDAM)_x000a_3: Sedang (sebagian sudah terlayani PDAM dan sebagian lainnya  menggunakan air tanah)_x000a_5: Mudah (sudah terlayani PDAM secara menyeluruh)" sqref="F316" xr:uid="{00000000-0002-0000-0100-0000B0000000}">
      <formula1>IF($F$308="Ada",tigalima,satu)</formula1>
    </dataValidation>
    <dataValidation type="list" showInputMessage="1" showErrorMessage="1" promptTitle="Operasional Tersedia Air Minum" prompt="1: &lt;4 hari _x000a_3: 4-6 hari_x000a_5: 7 hari" sqref="F313" xr:uid="{00000000-0002-0000-0100-0000B1000000}">
      <formula1>"1,3,5"</formula1>
    </dataValidation>
    <dataValidation type="list" allowBlank="1" showInputMessage="1" showErrorMessage="1" promptTitle="Ketersediaan Septic Tank" prompt="1. Tidak memiliki Septic Tank_x000a_3. Septic Tank  Bersama/Komunal_x000a_5. Septic Tank  Sendiri/Individu" sqref="F500" xr:uid="{00000000-0002-0000-0100-0000B2000000}">
      <formula1>"1,3,5"</formula1>
    </dataValidation>
    <dataValidation type="list" allowBlank="1" showInputMessage="1" showErrorMessage="1" promptTitle="Ketersediaan Septic Tank" prompt="Ada_x000a_Tidak Ada" sqref="F499" xr:uid="{00000000-0002-0000-0100-0000B3000000}">
      <formula1>"Ada, Tidak Ada"</formula1>
    </dataValidation>
    <dataValidation type="list" showInputMessage="1" showErrorMessage="1" promptTitle="Keberfungsian Jamban" prompt="1: Jamban Tidak Berfungsi_x000a_5: Jamban Berfungsi" sqref="F498" xr:uid="{00000000-0002-0000-0100-0000B4000000}">
      <formula1>IF($F$496=0,satu,satudanlima)</formula1>
    </dataValidation>
    <dataValidation type="list" allowBlank="1" showInputMessage="1" showErrorMessage="1" promptTitle="Wilayah Desa berbatasan dgn laut" prompt="Ada_x000a_Tidak Ada" sqref="F116" xr:uid="{00000000-0002-0000-0100-0000B5000000}">
      <formula1>"Ada, Tidak Ada"</formula1>
    </dataValidation>
    <dataValidation type="list" allowBlank="1" showInputMessage="1" showErrorMessage="1" promptTitle="Ketersediaan Jamban Rumah Tangga" prompt="Ada_x000a_Tidak Ada" sqref="F495" xr:uid="{00000000-0002-0000-0100-0000B6000000}">
      <formula1>"Ada, Tidak Ada"</formula1>
    </dataValidation>
    <dataValidation type="list" allowBlank="1" showInputMessage="1" showErrorMessage="1" promptTitle="T'dapat Advokasi/Sosialisasi JKN" prompt="1: Tidak terdapat kegiatan sosialisasi dan/atau advokasi_x000a_5: Terdapat kegiatan sosialisasi dan/atau advokasi" sqref="F304" xr:uid="{00000000-0002-0000-0100-0000B7000000}">
      <formula1>"1,5"</formula1>
    </dataValidation>
    <dataValidation allowBlank="1" showInputMessage="1" showErrorMessage="1" promptTitle="Persentase Keanggotaan BPJS" prompt="1: 0 - 20%_x000a_2: &gt;20 - 40%_x000a_3: &gt;40 - 60%_x000a_4: &gt;60 - 80%_x000a_5: &gt;80 - 100%" sqref="F303" xr:uid="{00000000-0002-0000-0100-0000B8000000}"/>
    <dataValidation type="list" showInputMessage="1" showErrorMessage="1" promptTitle="Tersedia Layanan Tenaga Ksehatan" prompt="1: Tidak Tersedia_x000a_5: Tersedia" sqref="F290" xr:uid="{00000000-0002-0000-0100-0000B9000000}">
      <formula1>"1,5"</formula1>
    </dataValidation>
    <dataValidation type="list" showInputMessage="1" showErrorMessage="1" promptTitle="Modil Pribadi Layanan Bidan" prompt="Ada_x000a_Tidak Ada" sqref="F285" xr:uid="{00000000-0002-0000-0100-0000BA000000}">
      <formula1>IF(OR($F$282="",$F$282=1),tidakada,adatidak)</formula1>
    </dataValidation>
    <dataValidation type="list" showInputMessage="1" showErrorMessage="1" promptTitle="Transportasi Umum Layanan Bidan" prompt="Ada_x000a_Tidak Ada" sqref="F284" xr:uid="{00000000-0002-0000-0100-0000BB000000}">
      <formula1>IF(OR($F$282="",$F$282=1),tidakada,adatidak)</formula1>
    </dataValidation>
    <dataValidation type="list" showInputMessage="1" showErrorMessage="1" promptTitle="Motor Layanan Bidan" prompt="Ada_x000a_Tidak Ada" sqref="F286" xr:uid="{00000000-0002-0000-0100-0000BC000000}">
      <formula1>IF(OR($F$282="",$F$282=1),tidakada,adatidak)</formula1>
    </dataValidation>
    <dataValidation type="list" showInputMessage="1" showErrorMessage="1" promptTitle="Perahu Layanan Bidan" prompt="Ada_x000a_Tidak Ada" sqref="F287" xr:uid="{00000000-0002-0000-0100-0000BD000000}">
      <formula1>IF(OR($F$282="",$F$282=1),tidakada,adatidak)</formula1>
    </dataValidation>
    <dataValidation type="list" showInputMessage="1" showErrorMessage="1" promptTitle="Tersedia Layanan Bidan" prompt="1:  Tidak Tersdia_x000a_5:  Tersedia" sqref="F273" xr:uid="{00000000-0002-0000-0100-0000BE000000}">
      <formula1>"1,5"</formula1>
    </dataValidation>
    <dataValidation type="list" showInputMessage="1" showErrorMessage="1" promptTitle="Perahu layanan Dokter" prompt="Ada_x000a_Tidak Ada" sqref="F270" xr:uid="{00000000-0002-0000-0100-0000BF000000}">
      <formula1>IF(OR($F$265="",$F$265=1),tidakada,adatidak)</formula1>
    </dataValidation>
    <dataValidation type="list" showInputMessage="1" showErrorMessage="1" promptTitle="Motor layanan Dokter" prompt="Ada_x000a_Tidak Ada" sqref="F269" xr:uid="{00000000-0002-0000-0100-0000C0000000}">
      <formula1>IF(OR($F$265="",$F$265=1),tidakada,adatidak)</formula1>
    </dataValidation>
    <dataValidation type="list" showInputMessage="1" showErrorMessage="1" promptTitle="Mobil Pribadi layanan Dokter" prompt="Ada_x000a_Tidak Ada" sqref="F268" xr:uid="{00000000-0002-0000-0100-0000C1000000}">
      <formula1>IF(OR($F$265="",$F$265=1),tidakada,adatidak)</formula1>
    </dataValidation>
    <dataValidation type="list" showInputMessage="1" showErrorMessage="1" promptTitle="Transportasi Umum layanan Dokter" prompt="Ada_x000a_Tidak Ada" sqref="F267" xr:uid="{00000000-0002-0000-0100-0000C2000000}">
      <formula1>IF(OR($F$265="",$F$265=1),tidakada,adatidak)</formula1>
    </dataValidation>
    <dataValidation type="list" showInputMessage="1" showErrorMessage="1" promptTitle="Tersedia Layanan Dokter" prompt="1: Tidak Tersedia_x000a_5: Tersedia" sqref="F255" xr:uid="{00000000-0002-0000-0100-0000C3000000}">
      <formula1>"1,5"</formula1>
    </dataValidation>
    <dataValidation type="list" showInputMessage="1" showErrorMessage="1" promptTitle="Ketersediaan Posyandu" prompt="1: Tidak ada Posyandu_x000a_5: Terdapat Posyandu" sqref="F240" xr:uid="{00000000-0002-0000-0100-0000C4000000}">
      <formula1>"1,5"</formula1>
    </dataValidation>
    <dataValidation type="list" showInputMessage="1" showErrorMessage="1" promptTitle="Waktu Tempuh Pos/Logistik" prompt="1: 0 - 3 Menit_x000a_2: &gt;3 - 15 Menit_x000a_3: &gt;15 Menit" sqref="F446" xr:uid="{00000000-0002-0000-0100-0000C5000000}">
      <formula1>"1,2,3"</formula1>
    </dataValidation>
    <dataValidation allowBlank="1" showInputMessage="1" showErrorMessage="1" promptTitle="FalKes Pustu/Poskesdes/Polindes" prompt="1: Tidak Ada Pustu/Poskesdes/ Polindes_x000a_5: Terdapat Pustu/Poskesdes/ Polindes" sqref="F234" xr:uid="{00000000-0002-0000-0100-0000C6000000}"/>
    <dataValidation allowBlank="1" showInputMessage="1" showErrorMessage="1" promptTitle="Transportasi Lainnya" prompt="(Sebutkan)" sqref="F240 F234:F237 F245" xr:uid="{00000000-0002-0000-0100-0000C7000000}"/>
    <dataValidation type="list" showInputMessage="1" showErrorMessage="1" error="Tidak Tersedia Transportasi penunjang menuju sarana kesehatan terdekat" promptTitle="Tersedia Motor" prompt="Ada_x000a_Tidak Ada" sqref="F229" xr:uid="{00000000-0002-0000-0100-0000C8000000}">
      <formula1>IF(OR($F$224="",$F$224=2),tidakada,adatidak)</formula1>
    </dataValidation>
    <dataValidation type="list" showInputMessage="1" showErrorMessage="1" error="Tidak Tersedia Transportasi penunjang menuju sarana kesehatan terdekat" promptTitle="Tersedia Mobil Pribadi" prompt="Ada_x000a_Tidak Ada" sqref="F228" xr:uid="{00000000-0002-0000-0100-0000C9000000}">
      <formula1>IF(OR($F$224="",$F$224=2),tidakada,adatidak)</formula1>
    </dataValidation>
    <dataValidation type="list" showInputMessage="1" showErrorMessage="1" error="Tidak Tersedia Transportasi penunjang menuju sarana kesehatan terdekat" promptTitle="Tersedia Angkutan Umum" prompt="Ada_x000a_Tidak Ada" sqref="F227" xr:uid="{00000000-0002-0000-0100-0000CA000000}">
      <formula1>IF(OR($F$224="",$F$224=2),tidakada,adatidak)</formula1>
    </dataValidation>
    <dataValidation type="list" allowBlank="1" showInputMessage="1" showErrorMessage="1" promptTitle="Terdapat Transpotasi ke Sarkes" prompt="1: Ada_x000a_2: Tidak Ada" sqref="F224" xr:uid="{00000000-0002-0000-0100-0000CB000000}">
      <formula1>"1,2"</formula1>
    </dataValidation>
    <dataValidation type="list" showInputMessage="1" showErrorMessage="1" error="Tidak Tersedia Transportasi penunjang menuju sarana kesehatan terdekat" promptTitle="Tersedia Perahu" prompt="Ada_x000a_Tidak Ada" sqref="F230" xr:uid="{00000000-0002-0000-0100-0000CC000000}">
      <formula1>IF(OR($F$224="",$F$224=2),tidakada,adatidak)</formula1>
    </dataValidation>
    <dataValidation type="list" showInputMessage="1" showErrorMessage="1" promptTitle="Pendidikan utk Kebutuhan Khusus" prompt="Ada_x000a_Tidak Ada" sqref="F218" xr:uid="{00000000-0002-0000-0100-0000CD000000}">
      <formula1>"Ada, Tidak Ada"</formula1>
    </dataValidation>
    <dataValidation type="list" showInputMessage="1" showErrorMessage="1" promptTitle="Dukungan Beasiswa Kurang Mampu" prompt="Ada_x000a_Tidak Ada" sqref="F216" xr:uid="{00000000-0002-0000-0100-0000CE000000}">
      <formula1>"Ada, Tidak Ada"</formula1>
    </dataValidation>
    <dataValidation allowBlank="1" showInputMessage="1" showErrorMessage="1" promptTitle="APM Usia 16-18 SMA/SMK/Sederajat" prompt="1: 0 - 20%_x000a_2: &gt;20 - 40%_x000a_3: &gt;40 - 60%_x000a_4: &gt;60 - 80%_x000a_5: &gt;80 - 100%" sqref="F212" xr:uid="{00000000-0002-0000-0100-0000CF000000}"/>
    <dataValidation type="list" showInputMessage="1" showErrorMessage="1" promptTitle="Transport SMA/SMK/MA/Sederajat" prompt="1: Ada_x000a_2: Tidak Ada" sqref="F208" xr:uid="{00000000-0002-0000-0100-0000D0000000}">
      <formula1>"1,2"</formula1>
    </dataValidation>
    <dataValidation type="list" showInputMessage="1" showErrorMessage="1" promptTitle="Layanan SMA/SMK/MA/MAK/Sederajat" prompt="Tidak Ada_x000a_Pemerintah dan Swasta_x000a_Pemerintah dan Masyarakat_x000a_Swasta dan Pemerintah_x000a_Pemerintah_x000a_Swasta_x000a_Masyarakat" sqref="F205" xr:uid="{00000000-0002-0000-0100-0000D1000000}">
      <formula1>IF(OR($F$203="",$F$203=0),tidakada,penyedia)</formula1>
    </dataValidation>
    <dataValidation allowBlank="1" showInputMessage="1" showErrorMessage="1" promptTitle="Tersedia SMA/SMK/MA/MAK/Sedrajat" prompt="1: Tidak Ada SMA/SMK/MA/MAK/Sederajat_x000a_5: Terdapat &gt;=1 SMA/SMK/MA/MAK/Sederajat" sqref="F204" xr:uid="{00000000-0002-0000-0100-0000D2000000}"/>
    <dataValidation allowBlank="1" showInputMessage="1" showErrorMessage="1" promptTitle="APM Usia 13-15 SMP/MTIs/Sedrajat" prompt="1: 0 - 20%_x000a_2: &gt;20 - 40%_x000a_3: &gt;40 - 60%_x000a_4: &gt;60 - 80%_x000a_5: &gt;80 - 100%" sqref="F201" xr:uid="{00000000-0002-0000-0100-0000D3000000}"/>
    <dataValidation type="list" showInputMessage="1" showErrorMessage="1" promptTitle="Layanan SMP/MTs/Sederajat" prompt="Tidak Ada_x000a_Pemerintah dan Swasta_x000a_Pemerintah dan Masyarakat_x000a_Swasta dan Pemerintah_x000a_Pemerintah_x000a_Swasta_x000a_Masyarakat" sqref="F194" xr:uid="{00000000-0002-0000-0100-0000D4000000}">
      <formula1>IF(OR($F$192="",$F$192=0),tidakada,penyedia)</formula1>
    </dataValidation>
    <dataValidation allowBlank="1" showInputMessage="1" showErrorMessage="1" promptTitle="Ketersediaan SMP/MTs/Sederajat" prompt="1: Tidak Ada SMP/MTs/Sederajat_x000a_5: Terdapat &gt;=1 SMP/MTs/Sederajat" sqref="F193" xr:uid="{00000000-0002-0000-0100-0000D5000000}"/>
    <dataValidation allowBlank="1" showInputMessage="1" showErrorMessage="1" promptTitle="APM Usia 7-12 SD/MI/Sederajat" prompt="1: 0 - 20%_x000a_2: &gt;20 - 40%_x000a_3: &gt;40 - 60%_x000a_4: &gt;60 - 80%_x000a_5: &gt;80 - 100%" sqref="F190" xr:uid="{00000000-0002-0000-0100-0000D6000000}"/>
    <dataValidation type="list" allowBlank="1" showInputMessage="1" showErrorMessage="1" promptTitle="Transportasi PAUD/TK/Sederajat" prompt="1: Ada_x000a_2: Tidak Ada" sqref="F175" xr:uid="{00000000-0002-0000-0100-0000D7000000}">
      <formula1>"1,2"</formula1>
    </dataValidation>
    <dataValidation type="list" showInputMessage="1" showErrorMessage="1" promptTitle="Transportasi SD/MI/Sederajat" prompt="1: Ada_x000a_2: Tidak Ada" sqref="F186" xr:uid="{00000000-0002-0000-0100-0000D8000000}">
      <formula1>"1,2"</formula1>
    </dataValidation>
    <dataValidation type="list" showInputMessage="1" showErrorMessage="1" promptTitle="Layanan SD/MI/Sederajat" prompt="Tidak Ada_x000a_Pemerintah dan Swasta_x000a_Pemerintah dan Masyarakat_x000a_Swasta dan Pemerintah_x000a_Pemerintah_x000a_Swasta_x000a_Masyarakat" sqref="F183" xr:uid="{00000000-0002-0000-0100-0000D9000000}">
      <formula1>IF(OR($F$181="",$F$181=0),tidakada,penyedia)</formula1>
    </dataValidation>
    <dataValidation type="list" showInputMessage="1" showErrorMessage="1" promptTitle="Layanan PAUD/TK/Sederajat" prompt="Tidak Ada_x000a_Pemerintah dan Swasta_x000a_Pemerintah_x000a_Swasta_x000a_Masyarakat" sqref="F172" xr:uid="{00000000-0002-0000-0100-0000DA000000}">
      <formula1>IF(AND($F$168&gt;0,$F$169=0),paudpemerintah,IF(AND($F$168=0,$F$169&gt;0),swastamasyarakat,IF(AND($F$168&gt;0,$F$169&gt;0),paudpemerintahswasta,tidakada)))</formula1>
    </dataValidation>
    <dataValidation allowBlank="1" showInputMessage="1" showErrorMessage="1" promptTitle="Ketersediaan SD/MI/Sederajat" prompt="1: Tidak Ada SD/MI/Sederajat_x000a_2: Terdapat 1 SD/MI/Sederajat_x000a_3: Terdapat 2 SD/MI/Sederajat_x000a_4: Terdapat 3 SD/MI/Sederajat_x000a_5: Terdapat &gt;=4 SD/MI/Sederajat" sqref="F182" xr:uid="{00000000-0002-0000-0100-0000DB000000}"/>
    <dataValidation allowBlank="1" showInputMessage="1" showErrorMessage="1" promptTitle="APM anak Usia 3-6 Tahun PAUD/TK" prompt="1: 0 - 20%_x000a_2: &gt;20 - 40%_x000a_3: &gt;40 - 60%_x000a_4: &gt;60 - 80%_x000a_5: &gt;80 - 100%" sqref="F179" xr:uid="{00000000-0002-0000-0100-0000DC000000}"/>
    <dataValidation allowBlank="1" showInputMessage="1" showErrorMessage="1" promptTitle="Akses PAUD/TK/Sederajat di Desa" prompt="1: Sangat Sulit_x000a_2: Sulit_x000a_3: Sedang_x000a_4: Mudah_x000a_5: Sangat Mudah" sqref="F176" xr:uid="{00000000-0002-0000-0100-0000DD000000}"/>
    <dataValidation allowBlank="1" showInputMessage="1" showErrorMessage="1" promptTitle="PAUD/TK/Sederajat di Desa       " prompt="1: Tidak ada PAUD/TK/Sederajat_x000a_2: Terdapat 1 PAUD/TK/Sederajat_x000a_3: Terdapat 2 PAUD/TK/Sederajat_x000a_4: Terdapat 3-4 PAUD/TK/Sederajat_x000a_5: Terdapat &gt;=5 PAUD/TK/Sederajat" sqref="F171" xr:uid="{00000000-0002-0000-0100-0000DE000000}"/>
    <dataValidation type="list" showInputMessage="1" showErrorMessage="1" promptTitle="Jlh Fasilitas Kesehatan di Desa" prompt="Unit" sqref="F251" xr:uid="{00000000-0002-0000-0100-0000DF000000}">
      <formula1>"0,1,2,3,4,5"</formula1>
    </dataValidation>
    <dataValidation type="list" showInputMessage="1" showErrorMessage="1" error="Cek Keberadaan Rumah Teraliri Listrik Bersumber dari Non-PLN" promptTitle="Sumber Listrik Energi Matahari" prompt="Ada_x000a_Tidak Ada" sqref="F556" xr:uid="{00000000-0002-0000-0100-0000E0000000}">
      <formula1>IF(OR($F$554="",$F$554=0),tidakada,adatidak)</formula1>
    </dataValidation>
    <dataValidation type="list" showInputMessage="1" showErrorMessage="1" error="Cek Keberadaan Rumah Teraliri Listrik Bersumber dari Non-PLN" promptTitle="Sumber Listrik Energi Angin" prompt="Ada_x000a_Tidak Ada" sqref="F557" xr:uid="{00000000-0002-0000-0100-0000E1000000}">
      <formula1>IF(OR($F$554="",$F$554=0),tidakada,adatidak)</formula1>
    </dataValidation>
    <dataValidation type="list" showInputMessage="1" showErrorMessage="1" error="Cek Keberadaan Rumah Teraliri Listrik Bersumber dari Non-PLN" promptTitle="Sumber Listrik Biomasa/Bigas" prompt="Ada_x000a_Tidak Ada" sqref="F559" xr:uid="{00000000-0002-0000-0100-0000E2000000}">
      <formula1>IF(OR($F$554="",$F$554=0),tidakada,adatidak)</formula1>
    </dataValidation>
    <dataValidation type="list" showInputMessage="1" showErrorMessage="1" error="Cek Keberadaan Rumah Teraliri Listrik Bersumber dari Non-PLN" promptTitle="Sumber Listrik Energi Diesel" prompt="Ada_x000a_Tidak Ada" sqref="F558" xr:uid="{00000000-0002-0000-0100-0000E3000000}">
      <formula1>IF(OR($F$554="",$F$554=0),tidakada,adatidak)</formula1>
    </dataValidation>
    <dataValidation type="list" showInputMessage="1" showErrorMessage="1" error="Cek Keberadaan Rumah Teraliri Listrik Bersumber dari Non-PLN" promptTitle="Nabati/Organik Cair/ Hayati" prompt="Ada_x000a_Tidak Ada" sqref="F560" xr:uid="{00000000-0002-0000-0100-0000E4000000}">
      <formula1>IF(OR($F$554="",$F$554=0),tidakada,adatidak)</formula1>
    </dataValidation>
    <dataValidation type="list" showInputMessage="1" showErrorMessage="1" error="Cek Keberadaan Rumah Teraliri Listrik Bersumber dari Non-PLN" promptTitle="Sumber Listrik Energi Microhydro" prompt="Ada_x000a_Tidak Ada" sqref="F561" xr:uid="{00000000-0002-0000-0100-0000E5000000}">
      <formula1>IF(OR($F$554="",$F$554=0),tidakada,adatidak)</formula1>
    </dataValidation>
    <dataValidation type="list" showInputMessage="1" showErrorMessage="1" promptTitle="Tersedia Akses Telepon di Desa" prompt="1: Tidak ada akses sinyal_x000a_3: Ya, tapi sinyal lemah _x000a_5: Ya, sinyal kuat" sqref="F570" xr:uid="{00000000-0002-0000-0100-0000E6000000}">
      <formula1>"1,3,5"</formula1>
    </dataValidation>
    <dataValidation type="list" showInputMessage="1" showErrorMessage="1" promptTitle="Terdapat Taman Bacaan Masyarakat" prompt="1: Tidak ada_x000a_5: Ada" sqref="F375" xr:uid="{00000000-0002-0000-0100-0000E7000000}">
      <formula1>"1,5"</formula1>
    </dataValidation>
    <dataValidation type="list" allowBlank="1" showInputMessage="1" showErrorMessage="1" promptTitle="Tersedia Lapangan Futsal" prompt="1: Tidak ada fasilitas_x000a_2: Ada, kondisi rusak parah_x000a_3: Ada, Kondisi rusak sedang_x000a_4: Ada, kondisi rusak ringan_x000a_5: Ada, kondisi baik" sqref="F384" xr:uid="{00000000-0002-0000-0100-0000E8000000}">
      <formula1>"1,2,3,4,5"</formula1>
    </dataValidation>
    <dataValidation type="list" allowBlank="1" showInputMessage="1" showErrorMessage="1" promptTitle="Sedia Lapangan/ Fasilitas Lainny" prompt="1: Tidak ada fasilitas_x000a_2: Ada, kondisi rusak parah_x000a_3: Ada, Kondisi rusak sedang_x000a_4: Ada, kondisi rusak ringan_x000a_5: Ada, kondisi baik" sqref="F387" xr:uid="{00000000-0002-0000-0100-0000E9000000}">
      <formula1>"1,2,3,4,5"</formula1>
    </dataValidation>
    <dataValidation type="list" allowBlank="1" showInputMessage="1" showErrorMessage="1" promptTitle="Tersedia Lapangan Sepak Bola" prompt="1: Tidak ada fasilitas_x000a_2: Ada, kondisi rusak parah_x000a_3: Ada, Kondisi rusak sedang_x000a_4: Ada, kondisi rusak ringan_x000a_5: Ada, kondisi baik" sqref="F379" xr:uid="{00000000-0002-0000-0100-0000EA000000}">
      <formula1>"1,2,3,4,5"</formula1>
    </dataValidation>
    <dataValidation type="list" allowBlank="1" showInputMessage="1" showErrorMessage="1" promptTitle="Tersedia Lapangan Voli" prompt="1: Tidak ada fasilitas_x000a_2: Ada, kondisi rusak parah_x000a_3: Ada, Kondisi rusak sedang_x000a_4: Ada, kondisi rusak ringan_x000a_5: Ada, kondisi baik" sqref="F380" xr:uid="{00000000-0002-0000-0100-0000EB000000}">
      <formula1>"1,2,3,4,5"</formula1>
    </dataValidation>
    <dataValidation type="list" allowBlank="1" showInputMessage="1" showErrorMessage="1" promptTitle="Tersedia Lapangan Bulutangkis" prompt="1: Tidak ada fasilitas_x000a_2: Ada, kondisi rusak parah_x000a_3: Ada, Kondisi rusak sedang_x000a_4: Ada, kondisi rusak ringan_x000a_5: Ada, kondisi baik" sqref="F381" xr:uid="{00000000-0002-0000-0100-0000EC000000}">
      <formula1>"1,2,3,4,5"</formula1>
    </dataValidation>
    <dataValidation type="list" allowBlank="1" showInputMessage="1" showErrorMessage="1" promptTitle="Tersedia Lapangan Basket" prompt="1: Tidak ada fasilitas_x000a_2: Ada, kondisi rusak parah_x000a_3: Ada, Kondisi rusak sedang_x000a_4: Ada, kondisi rusak ringan_x000a_5: Ada, kondisi baik" sqref="F382" xr:uid="{00000000-0002-0000-0100-0000ED000000}">
      <formula1>"1,2,3,4,5"</formula1>
    </dataValidation>
    <dataValidation type="list" allowBlank="1" showInputMessage="1" showErrorMessage="1" promptTitle="Tersedia Tenis Lapangan" prompt="1: Tidak ada fasilitas_x000a_2: Ada, kondisi rusak parah_x000a_3: Ada, Kondisi rusak sedang_x000a_4: Ada, kondisi rusak ringan_x000a_5: Ada, kondisi baik" sqref="F383" xr:uid="{00000000-0002-0000-0100-0000EE000000}">
      <formula1>"1,2,3,4,5"</formula1>
    </dataValidation>
    <dataValidation type="list" allowBlank="1" showInputMessage="1" showErrorMessage="1" promptTitle="Tersedia Kolam Renang" prompt="1: Tidak ada fasilitas_x000a_2: Ada, kondisi rusak parah_x000a_3: Ada, Kondisi rusak sedang_x000a_4: Ada, kondisi rusak ringan_x000a_5: Ada, kondisi baik" sqref="F385" xr:uid="{00000000-0002-0000-0100-0000EF000000}">
      <formula1>"1,2,3,4,5"</formula1>
    </dataValidation>
    <dataValidation type="list" allowBlank="1" showInputMessage="1" showErrorMessage="1" promptTitle="Tersedia Fasilitas Tenis Meja" prompt="1: Tidak ada fasilitas_x000a_2: Ada, kondisi rusak parah_x000a_3: Ada, Kondisi rusak sedang_x000a_4: Ada, kondisi rusak ringan_x000a_5: Ada, kondisi baik" sqref="F386" xr:uid="{00000000-0002-0000-0100-0000F0000000}">
      <formula1>"1,2,3,4,5"</formula1>
    </dataValidation>
    <dataValidation type="list" showInputMessage="1" showErrorMessage="1" promptTitle="Kearifan Lokal/Budaya utk Ekonom" prompt="1: Tidak Ada_x000a_5: Ada" sqref="F414" xr:uid="{00000000-0002-0000-0100-0000F1000000}">
      <formula1>"1,5"</formula1>
    </dataValidation>
    <dataValidation type="list" showInputMessage="1" showErrorMessage="1" promptTitle="Ketersediaan Pasar di Desa" prompt="1: Tidak ada_x000a_5: Ada_x000a_" sqref="F419" xr:uid="{00000000-0002-0000-0100-0000F2000000}">
      <formula1>"1,5"</formula1>
    </dataValidation>
    <dataValidation allowBlank="1" showInputMessage="1" showErrorMessage="1" promptTitle="Tersedia Toko/Pertokoan di Desa" prompt="1: Tidak ada_x000a_5: Ada_x000a_(IDM E 517.a)" sqref="F427" xr:uid="{00000000-0002-0000-0100-0000F3000000}"/>
    <dataValidation type="list" showInputMessage="1" showErrorMessage="1" promptTitle="Tersedia Layanan Perbankan" prompt="1: Tidak ada_x000a_5: Ada" sqref="F462" xr:uid="{00000000-0002-0000-0100-0000F4000000}">
      <formula1>"1,5"</formula1>
    </dataValidation>
    <dataValidation type="list" showInputMessage="1" showErrorMessage="1" promptTitle="Terdapat Pencemaran Udara" prompt="0: Tidak Ada_x000a_1: Ada" sqref="F491" xr:uid="{00000000-0002-0000-0100-0000F5000000}">
      <formula1>"0,1"</formula1>
    </dataValidation>
    <dataValidation type="list" showInputMessage="1" showErrorMessage="1" promptTitle="Terdapat Pencemaran Air" prompt="0: Tidak Ada_x000a_1: Ada_x000a_" sqref="F489" xr:uid="{00000000-0002-0000-0100-0000F6000000}">
      <formula1>"0,1"</formula1>
    </dataValidation>
    <dataValidation type="list" showInputMessage="1" showErrorMessage="1" promptTitle="Terdapat Pencemaran Tanah" prompt="0: Tidak Ada_x000a_1: Ada" sqref="F490" xr:uid="{00000000-0002-0000-0100-0000F7000000}">
      <formula1>"0,1"</formula1>
    </dataValidation>
    <dataValidation allowBlank="1" showInputMessage="1" showErrorMessage="1" promptTitle="Fasilitasi Mitigasi Bencana" prompt="1: Tidak Ada fasilitas_x000a_5: Ada fasilitas (Peringatan Dini, Perlengkapan Keselamatan, Jalur Evakuasi)" sqref="F519:F520" xr:uid="{00000000-0002-0000-0100-0000F8000000}"/>
    <dataValidation type="whole" showInputMessage="1" showErrorMessage="1" error="Diisi Dengan Angka" promptTitle="Jumlah Kegiatan Pemberdayaan BPD" prompt="(diisi angka)" sqref="F94" xr:uid="{00000000-0002-0000-0100-0000F9000000}">
      <formula1>0</formula1>
      <formula2>24</formula2>
    </dataValidation>
    <dataValidation type="list" showInputMessage="1" showErrorMessage="1" promptTitle="Aset Berupa Tanah Desa" prompt="1: Tidak Ada_x000a_3: Ada, tidak produktif untuk Kepentingan Masyarakat_x000a_5: Ada, produktif untuk Kepentingan Masyarakat" sqref="F151" xr:uid="{00000000-0002-0000-0100-0000FA000000}">
      <formula1>"1,3,5"</formula1>
    </dataValidation>
    <dataValidation type="list" showInputMessage="1" showErrorMessage="1" promptTitle="Aset Berupa Pasar Desa" prompt="1: Tidak Ada_x000a_3: Ada, tidak produktif untuk Kepentingan Masyarakat_x000a_5: Ada, produktif untuk Kepentingan Masyarakat" sqref="F153" xr:uid="{00000000-0002-0000-0100-0000FB000000}">
      <formula1>"1,3,5"</formula1>
    </dataValidation>
    <dataValidation allowBlank="1" showInputMessage="1" showErrorMessage="1" promptTitle="Kondisi Fasilitas Lapangan OR " prompt="1. Rata-rata tidak terdapat fasilitas_x000a_2. Rata-rata kondisi fasilitas rusak parah_x000a_3. Rata-rata kondisi fasilitas rusak sedang_x000a_4. Rata-rata kondisi fasilitas rusak ringan_x000a_5. Rata-rata kondisi fasilitas baik" sqref="F378" xr:uid="{00000000-0002-0000-0100-0000FC000000}"/>
    <dataValidation type="list" showInputMessage="1" showErrorMessage="1" promptTitle="Ketersediaan Kedai/ Rumah Makan" prompt="1: Tidak ada_x000a_5: Ada" sqref="F432" xr:uid="{00000000-0002-0000-0100-0000FD000000}">
      <formula1>"1,5"</formula1>
    </dataValidation>
    <dataValidation allowBlank="1" showInputMessage="1" showErrorMessage="1" promptTitle="Ketersediaan Penginapan di Desa" prompt="1: Tidak ada_x000a_5: Ada_x000a_(IDM E 523.a)" sqref="F440" xr:uid="{00000000-0002-0000-0100-0000FE000000}"/>
    <dataValidation type="list" showInputMessage="1" showErrorMessage="1" promptTitle="Tersedia Lembaga Ekonomi Lainnya" prompt="1: Tidak ada_x000a_5: Ada" sqref="F458" xr:uid="{00000000-0002-0000-0100-0000FF000000}">
      <formula1>"1,5"</formula1>
    </dataValidation>
    <dataValidation type="whole" showInputMessage="1" showErrorMessage="1" error="Isi Nama Plt/Kepala Desa" promptTitle="Nomor Telp Kades yg Aktif" prompt="Di isi tanpa awalan angka NOL (0)_x000a_contoh:_x000a_8171234567890" sqref="F36" xr:uid="{00000000-0002-0000-0100-000000010000}">
      <formula1>IF(F33="",0,8111111111)</formula1>
      <formula2>IF(F33="",0,88888888888)</formula2>
    </dataValidation>
    <dataValidation type="decimal" showInputMessage="1" showErrorMessage="1" promptTitle="Rata-rata Lama Sekolah &lt;= 15 Thn" prompt="diisi angka_x000a_kisaran 14,00 tahun - 15,00 Tahun" sqref="F215" xr:uid="{00000000-0002-0000-0100-000001010000}">
      <formula1>14</formula1>
      <formula2>15</formula2>
    </dataValidation>
    <dataValidation type="list" showInputMessage="1" showErrorMessage="1" promptTitle="Jenis Pasar Tersedia di Desa" prompt="a. Pasar Rakyat Utama_x000a_b. Pasar Rakyat Tipe A_x000a_c. Pasar Rakyat Tipe B_x000a_d. Pasar Rakyat Tipe C_x000a_e. Pasar Rakyat Tipe D_x000a_f. Tidak Tersedia Pasar di Desa" sqref="F420:F421" xr:uid="{00000000-0002-0000-0100-000002010000}">
      <formula1>IF(OR($F$419="",$F$419=1),f,ae)</formula1>
    </dataValidation>
    <dataValidation type="list" operator="lessThanOrEqual" showInputMessage="1" showErrorMessage="1" errorTitle="PERHATIAN" error="Total PAUD Pemerintah dan Non Pemerintah tidak lebih dari 30 Unit._x000a_Tidak Terdapat PAUD. Diisi 0 (NOL)" promptTitle="Jlh PAUD Pemerintah " prompt="(Unit)" sqref="F168" xr:uid="{00000000-0002-0000-0100-000003010000}">
      <formula1>"0,1,2,3,4,5"</formula1>
    </dataValidation>
    <dataValidation type="whole" showInputMessage="1" showErrorMessage="1" error="Tidak terdapat konflik lahan" promptTitle="Jlh Konflik dengan Aparat" prompt="Jlh konflik dengan Aparat Pemerintah Terkait Lahan_x000a_Jika Tidak Ada diisi nol &quot; 0 &quot;" sqref="F361" xr:uid="{00000000-0002-0000-0100-000004010000}">
      <formula1>0</formula1>
      <formula2>IF(OR(F357="",F357="tidak ada"),0,50)</formula2>
    </dataValidation>
    <dataValidation type="custom" showInputMessage="1" showErrorMessage="1" error="Input Jumlah Penduduk dengan BENAR" promptTitle="Jumlah Penduduk Perempuan" prompt="Input Menggunakan Angka" sqref="F120" xr:uid="{00000000-0002-0000-0100-000005010000}">
      <formula1>AND(F120&gt;=0,(F119+F120)&lt;=120000)</formula1>
    </dataValidation>
    <dataValidation type="whole" showInputMessage="1" showErrorMessage="1" error="Tidak terdapat konflik lahan" promptTitle="Jlh Konflik dengan Aparat" prompt="Jlh konflik dengan Aparat Keamanan Terkait Lahan_x000a_Jika Tidak Ada diisi nol &quot; 0 &quot;" sqref="F360" xr:uid="{00000000-0002-0000-0100-000006010000}">
      <formula1>0</formula1>
      <formula2>IF(OR(F357="",F357="tidak ada"),0,50)</formula2>
    </dataValidation>
    <dataValidation type="custom" showInputMessage="1" showErrorMessage="1" error="Input Jumlah Penduduk denan BENAR" promptTitle="Jumlah Penduduk Laki-Laki" prompt="Input Menggunakan Angka" sqref="F119" xr:uid="{00000000-0002-0000-0100-000007010000}">
      <formula1>AND(F119&gt;=0,(F119+F120)&lt;=120000)</formula1>
    </dataValidation>
    <dataValidation type="list" showInputMessage="1" showErrorMessage="1" error="Tidak Terdapat Kantor Pos/ Pos Pembantu/ Rumah Pos/ Pos Keliling di Desa._x000a_Diisi 0 (NOL)" promptTitle="Jarak Kantor Pos T'dekat" prompt="1: 0 - 0,5 Km_x000a_2: &gt;0,5 - 6,5 Km_x000a_3: &gt;6,5 Km" sqref="F445" xr:uid="{00000000-0002-0000-0100-000008010000}">
      <formula1>"1,2,3"</formula1>
    </dataValidation>
    <dataValidation type="whole" showInputMessage="1" showErrorMessage="1" error="Tidak terdapat konflik lahan" promptTitle="Jlh Konflik Lahan" prompt="Jlh konflik Antar Kelompok Masyarakat dengan pihak lainnya dalam 1 tahun terakhir_x000a_Jika Tidak Ada diisi nol &quot; 0 &quot;" sqref="F362" xr:uid="{00000000-0002-0000-0100-000009010000}">
      <formula1>0</formula1>
      <formula2>IF(OR(F357="",F357="tidak ada"),0,50)</formula2>
    </dataValidation>
    <dataValidation type="whole" showInputMessage="1" showErrorMessage="1" error="Tidak terdapat konflik lahan" promptTitle="Jlh Konflik Lahan" prompt="Jlh konflik Antar Kelompok Masyarakat dalam 1 tahun terakhir_x000a_Jika Tidak Ada diisi nol &quot; 0 &quot;" sqref="F358" xr:uid="{00000000-0002-0000-0100-00000A010000}">
      <formula1>0</formula1>
      <formula2>IF(OR(F357="",F357="tidak ada"),0,50)</formula2>
    </dataValidation>
    <dataValidation type="whole" allowBlank="1" showInputMessage="1" showErrorMessage="1" error="Tidak Terdapat Musyawarah Desa._x000a_Max 24 kali/tahun" promptTitle="Jlh Frek Musyawarah Desa" prompt="(Kali/Thn)" sqref="F107" xr:uid="{00000000-0002-0000-0100-00000B010000}">
      <formula1>0</formula1>
      <formula2>IF(F106=0,0,24)</formula2>
    </dataValidation>
    <dataValidation type="whole" showInputMessage="1" showErrorMessage="1" error="Tidak Ada Penyertaan Modal dari Dana Desa ke BUMDesa._x000a_Tidak Lebih Besar dari Dana Desa 2024" promptTitle="Besaran DD disertakan sbg Modal" prompt="(Diisi Angka)" sqref="F147" xr:uid="{00000000-0002-0000-0100-00000C010000}">
      <formula1>0</formula1>
      <formula2>IF(OR(F145="",F145=0),0,F146)</formula2>
    </dataValidation>
    <dataValidation type="whole" operator="lessThanOrEqual" allowBlank="1" showInputMessage="1" showErrorMessage="1" promptTitle="Jumlah Bunuh Diri di Desa" prompt="Input dengan Angka" sqref="D306" xr:uid="{00000000-0002-0000-0100-00000D010000}">
      <formula1>50</formula1>
    </dataValidation>
    <dataValidation type="list" showInputMessage="1" showErrorMessage="1" promptTitle="Penyelesaian Konflik secaraDamai" prompt="1: Tidak ada_x000a_3: Ada tetapi tidak tuntas_x000a_5: Ada" sqref="F365" xr:uid="{00000000-0002-0000-0100-00000E010000}">
      <formula1>"1,3,5"</formula1>
    </dataValidation>
    <dataValidation type="list" showInputMessage="1" showErrorMessage="1" promptTitle="Frekuensi Gotong Royong di desa" prompt="1: Tidak terdapat kegiatan_x000a_3: Terdapat 1-2 kegiatan dalam 1 bulan_x000a_5: Terdapat &gt; 2 kegiatan dalam 1 bulan_x000a_" sqref="F335" xr:uid="{00000000-0002-0000-0100-00000F010000}">
      <formula1>IF(OR($F$330="",$F$330=1),satu,tigalima)</formula1>
    </dataValidation>
    <dataValidation type="list" showInputMessage="1" showErrorMessage="1" promptTitle="Konflik Antarkelompok Masyarakat" prompt="Ada_x000a_Tidak Ada" sqref="F350" xr:uid="{00000000-0002-0000-0100-000010010000}">
      <formula1>IF(OR($F$349="",$F$349="tidak ada"),tidakada,adatidak)</formula1>
    </dataValidation>
    <dataValidation type="list" showInputMessage="1" showErrorMessage="1" promptTitle="Kualitas Jalan  di desa" prompt="1: Rusak berat, tidak dapat dilalui setiap hari_x000a_2: Rusak sedang, tidak dapat dilalui setiap hari_x000a_4: Rusak sedang, dapat dilalui setiap hari_x000a_5: Baik, dapat dilalui setiap hari" sqref="F535" xr:uid="{00000000-0002-0000-0100-000011010000}">
      <formula1>IF(OR($F$529=1,$F$529=""),satu,satulima)</formula1>
    </dataValidation>
    <dataValidation type="whole" operator="lessThanOrEqual" allowBlank="1" showInputMessage="1" showErrorMessage="1" error="Tidak Terdapat Paud Diisi 0 (NOL)" promptTitle="Jlh PAUD Non Pemerintah" prompt="(Unit)" sqref="F172" xr:uid="{00000000-0002-0000-0100-000012010000}">
      <formula1>IF(F168=0,0,30)</formula1>
    </dataValidation>
    <dataValidation type="list" showInputMessage="1" showErrorMessage="1" promptTitle="Terdapat Aktivitas Satkamling" prompt="1: Tidak terdapat aktivitas_x000a_2: Terdapat 1 kali aktivitas perbulan_x000a_3: Terdapat 2 kali aktivitas perbulan_x000a_4: Terdapat 3 kali aktivitas perbulan_x000a_5: Terdapat &gt;3 kali aktivitas perbulan" sqref="F372" xr:uid="{00000000-0002-0000-0100-000013010000}">
      <formula1>IF(OR($F$371=1,$F$371=""),satu,satulima)</formula1>
    </dataValidation>
    <dataValidation type="list" showInputMessage="1" showErrorMessage="1" promptTitle="Keteribatan Warga Gotong Royong" prompt="1: Tidak terdapat kegiatan_x000a_3: Sebagian kecil warga terlibat (&lt; 50% terlibat)_x000a_5: Sebagian besar warga terlibat (≥ 50% terlibat)" sqref="F336" xr:uid="{00000000-0002-0000-0100-000014010000}">
      <formula1>IF(OR($F$330="",$F$330=1),satu,tigalima)</formula1>
    </dataValidation>
    <dataValidation type="list" showInputMessage="1" showErrorMessage="1" promptTitle="Akses Sinyal Internet di Desa" prompt="1: Tidak ada akses sinyal_x000a_2: Terdapat akses 2G/ 2.5G/ GPRS/ EDGE_x000a_4: Terdapat akses 3G/ 3.5G/ HSDPA/ EVDO_x000a_5: Terdapat akses 5G dan 4G LTE" sqref="F571" xr:uid="{00000000-0002-0000-0100-000015010000}">
      <formula1>IF(OR($F$570="",$F$570=1),satu,IF($F$570=3,lemah,IF($F$570=5,kuat)))</formula1>
    </dataValidation>
    <dataValidation type="list" showInputMessage="1" showErrorMessage="1" promptTitle="Durasi Layanan Listrik di Desa" prompt="1: Tidak tersedia_x000a_2: Tersedia &lt; 6 jam_x000a_4: Tersedia 6-12 jam_x000a_5: Tersedia &gt;12 " sqref="F568" xr:uid="{00000000-0002-0000-0100-000016010000}">
      <formula1>IF(OR($F$566=0,$F$566=""),satu,duaempatlima)</formula1>
    </dataValidation>
    <dataValidation type="list" showInputMessage="1" showErrorMessage="1" promptTitle="Keberfungsian Septic Tank" prompt="1: Septic Tank Tidak Berfungsi_x000a_5: Septic Tank Berfungsi" sqref="F501" xr:uid="{00000000-0002-0000-0100-000017010000}">
      <formula1>IF(OR($F$500="",$F$500=1),satu,satudanlima)</formula1>
    </dataValidation>
    <dataValidation showInputMessage="1" showErrorMessage="1" promptTitle="Nomor Telp Petugas yg Aktif" prompt="Di isi tanpa awalan angka NOL (0)_x000a_contoh:_x000a_8171234567890" sqref="F8" xr:uid="{00000000-0002-0000-0100-000018010000}"/>
    <dataValidation type="list" showInputMessage="1" showErrorMessage="1" promptTitle="Buku Lembaran &amp; Berita Desa" prompt="Diisi_x000a_Tidak Diisi" sqref="F61" xr:uid="{00000000-0002-0000-0100-000019010000}">
      <formula1>IF(OR($F$52="Belum",$F$52=""),tidakdiisi,diisi)</formula1>
    </dataValidation>
    <dataValidation type="list" showInputMessage="1" showErrorMessage="1" promptTitle="Buku KTP dan KK" prompt="Diisi_x000a_Tidak Diisi" sqref="F68" xr:uid="{00000000-0002-0000-0100-00001A010000}">
      <formula1>IF(OR($F$62="Belum",$F$62=""),tidakdiisi,diisi)</formula1>
    </dataValidation>
    <dataValidation type="list" showInputMessage="1" showErrorMessage="1" promptTitle="Buku Bank Desa" prompt="Diisi_x000a_Tidak Diisi" sqref="F76" xr:uid="{00000000-0002-0000-0100-00001B010000}">
      <formula1>IF(OR($F$69="Belum",$F$69=""),tidakdiisi,diisi)</formula1>
    </dataValidation>
    <dataValidation type="list" showInputMessage="1" showErrorMessage="1" promptTitle="Bk Kader Pdampingn &amp; Pberdayaan" prompt="Diisi_x000a_Tidak Diisi" sqref="F82" xr:uid="{00000000-0002-0000-0100-00001C010000}">
      <formula1>IF(OR($F$77="Belum",$F$77=""),tidakdiisi,diisi)</formula1>
    </dataValidation>
    <dataValidation type="list" showInputMessage="1" showErrorMessage="1" promptTitle="Buku LKD/ Lembaga Adat" prompt="Diisi_x000a_Tidak Diisi" sqref="F87" xr:uid="{00000000-0002-0000-0100-00001D010000}">
      <formula1>IF(OR($F$83="Belum",$F$83=""),tidakdiisi,diisi)</formula1>
    </dataValidation>
    <dataValidation type="whole" showInputMessage="1" showErrorMessage="1" promptTitle="Frek Kegiatan Lembaga Adat Desa" prompt=" Jika tidak ada kegiatan diisi angka &quot; 0 &quot;" sqref="F97" xr:uid="{00000000-0002-0000-0100-00001E010000}">
      <formula1>0</formula1>
      <formula2>IF(OR(F96="",F96="tidak ada"),0,24)</formula2>
    </dataValidation>
    <dataValidation type="list" allowBlank="1" showInputMessage="1" showErrorMessage="1" promptTitle="Jenis Musyawarah dalam 1 tahun" prompt="Musyawarah Terencana_x000a_Musyawarah Insidental_x000a_Musyawarah Terencana dan Insidental" sqref="F107" xr:uid="{00000000-0002-0000-0100-00001F010000}">
      <formula1>"Musyawarah Terencana, Musyawarah Insidental, Musyawarah Terencana dan Insidental"</formula1>
    </dataValidation>
    <dataValidation type="list" showInputMessage="1" showErrorMessage="1" promptTitle="Frekuensi Musyawarah Desa" prompt="1: Terlaksana 0-2 kali musdes_x000a_2: Terlaksana 3-4 kali musdes_x000a_3: Terlaksana 5-6 kali musdes_x000a_4: Terlaksana 7-9 kali musdes_x000a_5: Terlaksana &gt;=10 kali musdes" sqref="F105" xr:uid="{00000000-0002-0000-0100-000020010000}">
      <formula1>"1,2,3,4,5"</formula1>
    </dataValidation>
    <dataValidation type="list" showInputMessage="1" showErrorMessage="1" promptTitle="Jalur Evakuasi" prompt="Ada_x000a_Tidak Ada" sqref="F516 F524:F525 F519:F522" xr:uid="{00000000-0002-0000-0100-000021010000}">
      <formula1>"Ada, Tidak Ada"</formula1>
    </dataValidation>
    <dataValidation type="whole" showInputMessage="1" showErrorMessage="1" errorTitle="Perhatikan Inputan Data" error="Jlh KK Perempuan Melebihi Total KK di desa! dan tidak lebih dari jlh Perempuan di Desa" promptTitle="Total Kepala Keluarga Perempuan" prompt=" " sqref="F123" xr:uid="{00000000-0002-0000-0100-000022010000}">
      <formula1>0</formula1>
      <formula2>IF(F120&gt;F122,F122,F120)</formula2>
    </dataValidation>
    <dataValidation type="list" operator="lessThanOrEqual" showInputMessage="1" showErrorMessage="1" error="Tidak Terdapat Paud Diisi 0 (NOL)" promptTitle="Jlh PAUD Non Pemerintah" prompt="(Unit)" sqref="F169" xr:uid="{00000000-0002-0000-0100-000023010000}">
      <formula1>"0,1,2,3,4,5"</formula1>
    </dataValidation>
    <dataValidation type="whole" operator="lessThanOrEqual" allowBlank="1" showInputMessage="1" showErrorMessage="1" error="Tidak Terdapat Paud Diisi 0 (NOL)" promptTitle="Jlh PAUD Non Pemerintah" prompt="(Unit)" sqref="F170:F171" xr:uid="{00000000-0002-0000-0100-000024010000}">
      <formula1>IF(F168=0,0,30)</formula1>
    </dataValidation>
    <dataValidation type="decimal" showInputMessage="1" showErrorMessage="1" promptTitle="Rata-rata Lama Sekolah &gt;= 15 Thn" prompt="diisi angka_x000a_kisaran 15,00 tahun - 16,00 Tahun" sqref="F214" xr:uid="{00000000-0002-0000-0100-000025010000}">
      <formula1>15</formula1>
      <formula2>16</formula2>
    </dataValidation>
    <dataValidation type="textLength" showInputMessage="1" showErrorMessage="1" promptTitle="Bentuk Dukungan Beasiswa" prompt="jika tidak ada diisi &quot; - &quot;" sqref="F217" xr:uid="{00000000-0002-0000-0100-000026010000}">
      <formula1>1</formula1>
      <formula2>IF(OR(F216="",F216="Tidak Ada"),1,20)</formula2>
    </dataValidation>
    <dataValidation type="list" operator="lessThanOrEqual" showInputMessage="1" showErrorMessage="1" promptTitle="Waktu Tempuh" prompt="1: 0 - 3 Menit_x000a_2: &gt;3 - 8 Menit_x000a_3: &gt;8 Menit" sqref="F223" xr:uid="{00000000-0002-0000-0100-000027010000}">
      <formula1>"1,2,3"</formula1>
    </dataValidation>
    <dataValidation allowBlank="1" showInputMessage="1" showErrorMessage="1" promptTitle="Akses Sarana Kesehatan Terdekat" prompt="1: Sangat Sulit_x000a_2: Sulit_x000a_3: Sedang_x000a_4: Mudah_x000a_5: Sangat Mudah" sqref="F225" xr:uid="{00000000-0002-0000-0100-000028010000}"/>
    <dataValidation allowBlank="1" showInputMessage="1" showErrorMessage="1" promptTitle="Akses SMA/SMK/MA/MAK/Sederajat" prompt="1: Sangat Sulit_x000a_2: Sulit_x000a_3: Sedang_x000a_4: Mudah_x000a_5: Sangat Mudah" sqref="F209" xr:uid="{00000000-0002-0000-0100-000029010000}"/>
    <dataValidation allowBlank="1" showInputMessage="1" showErrorMessage="1" promptTitle="Akses SMP/MTs/Sederajat t'dekat" prompt="1: Sangat Sulit_x000a_2: Sulit_x000a_3: Sedang_x000a_4: Mudah_x000a_5: Sangat Mudah" sqref="F198" xr:uid="{00000000-0002-0000-0100-00002A010000}"/>
    <dataValidation allowBlank="1" showInputMessage="1" showErrorMessage="1" promptTitle="Akses SD/MI/Sederajat Terdekat" prompt="1: Sangat Sulit_x000a_2: Sulit_x000a_3: Sedang_x000a_4: Mudah_x000a_5: Sangat Mudah" sqref="F187" xr:uid="{00000000-0002-0000-0100-00002B010000}"/>
    <dataValidation type="list" showInputMessage="1" showErrorMessage="1" promptTitle="Jumlah Fasilitas Kesehatan" prompt="jika tidak ada dipilih 0" sqref="F233" xr:uid="{00000000-0002-0000-0100-00002C010000}">
      <formula1>"0,1,2,3"</formula1>
    </dataValidation>
    <dataValidation allowBlank="1" showInputMessage="1" showErrorMessage="1" promptTitle="Akses Sarana Kesehatan Pustu" prompt="1: Sangat Sulit_x000a_2: Sulit_x000a_3: Sedang_x000a_4: Mudah_x000a_5: Sangat Mudah" sqref="F238" xr:uid="{00000000-0002-0000-0100-00002D010000}"/>
    <dataValidation allowBlank="1" showInputMessage="1" showErrorMessage="1" promptTitle="Akses Sarana Kesehatan Posyandu" prompt="1: Sangat Sulit_x000a_2: Sulit_x000a_3: Sedang_x000a_4: Mudah_x000a_5: Sangat Mudah" sqref="F246" xr:uid="{00000000-0002-0000-0100-00002E010000}"/>
    <dataValidation type="list" operator="lessThanOrEqual" showInputMessage="1" showErrorMessage="1" promptTitle="Waktu Tempuh ke Poskesdes/Polind" prompt="1: 0 - 3 Menit_x000a_2: &gt;3 - 10 Menit_x000a_3: &gt;10 Menit" sqref="F244" xr:uid="{00000000-0002-0000-0100-00002F010000}">
      <formula1>"1,2,3"</formula1>
    </dataValidation>
    <dataValidation type="list" operator="lessThanOrEqual" showInputMessage="1" showErrorMessage="1" promptTitle="Jarak Poskesdes/ Polindes Tdekat" prompt="1: 0 - 0,5 Km_x000a_2: &gt;0,5 - 3,5 Km_x000a_3: &gt;3,5 Km" sqref="F243" xr:uid="{00000000-0002-0000-0100-000030010000}">
      <formula1>"1,2,3"</formula1>
    </dataValidation>
    <dataValidation type="textLength" showInputMessage="1" showErrorMessage="1" promptTitle="Sebutkan Sarana Kesehatan Lainny" prompt="Jika Tidak Tersedia diisi tanda &quot; - &quot;" sqref="F252" xr:uid="{00000000-0002-0000-0100-000031010000}">
      <formula1>1</formula1>
      <formula2>IF(OR(F251="",F251=0),1,120)</formula2>
    </dataValidation>
    <dataValidation type="list" showInputMessage="1" showErrorMessage="1" promptTitle="Penyedia Dukungan Sarkes di Desa" prompt="Tidak Ada_x000a_Pemerintah dan Swasta_x000a_Pemerintah_x000a_Yayasan_x000a_Swasta_x000a_Masyarakat_x000a_Lainnya" sqref="F253" xr:uid="{00000000-0002-0000-0100-000032010000}">
      <formula1>IF(OR($F$251="",$F$251=0),tidakada,sediasarkes)</formula1>
    </dataValidation>
    <dataValidation type="textLength" showInputMessage="1" showErrorMessage="1" error="Tidak Tersedia Tranpotasi Lainnya diisi &quot; - &quot;_x000a_Jika ada Sebutkan" promptTitle="Sarana Akomodasi lain utk Dokter" prompt="jika tidak ada diisi &quot; - &quot;" sqref="F271" xr:uid="{00000000-0002-0000-0100-000033010000}">
      <formula1>1</formula1>
      <formula2>IF(OR(F265=1,F265=""),1,20)</formula2>
    </dataValidation>
    <dataValidation type="list" showInputMessage="1" showErrorMessage="1" promptTitle="Jlh Tempat Praktek Bidan di desa" prompt="diisi angka_x000a_" sqref="F249" xr:uid="{00000000-0002-0000-0100-000034010000}">
      <formula1>IF(OR($F$248="",$F$248="tidak ada"),nol,satulima)</formula1>
    </dataValidation>
    <dataValidation type="textLength" showInputMessage="1" showErrorMessage="1" error="Tidak Tersedia Tranpotasi Lainnya diisi &quot; - &quot;_x000a_Jika ada Sebutkan" promptTitle="Sarana Akomodasi Lain utk bidan" prompt="jika tidak ada diisi &quot; - &quot;" sqref="F288" xr:uid="{00000000-0002-0000-0100-000035010000}">
      <formula1>1</formula1>
      <formula2>IF(OR(F282=1,F282=""),1,20)</formula2>
    </dataValidation>
    <dataValidation type="textLength" showInputMessage="1" showErrorMessage="1" promptTitle="Akomodasi lain utk Nakes Lainnya" prompt="jika tidak ada diisi &quot; - &quot;" sqref="F300" xr:uid="{00000000-0002-0000-0100-000036010000}">
      <formula1>1</formula1>
      <formula2>IF(OR(F294="",F294=1),1,20)</formula2>
    </dataValidation>
    <dataValidation type="textLength" showInputMessage="1" showErrorMessage="1" error="Jika Ya diisi dengan Benar_x000a_Jika Tidak diisi &quot; - &quot;" promptTitle="Bentuk Kegiatan Sosialisasi JKN" prompt="jika tidak ada diisi tanda &quot; - &quot;" sqref="F305" xr:uid="{00000000-0002-0000-0100-000037010000}">
      <formula1>IF(F304=5,4,1)</formula1>
      <formula2>IF(OR(F304=1,F304=""),1,50)</formula2>
    </dataValidation>
    <dataValidation type="whole" operator="greaterThanOrEqual" allowBlank="1" showInputMessage="1" showErrorMessage="1" promptTitle="Jlh RT Belum Teraliri Listrik" prompt="Jlh Rumah Tangga Belum Alir Listrik (RT)_x000a_(Terisi dari Unggah Template Rumah Tanggal Belum Teraliri Listrik)" sqref="F556:F561" xr:uid="{00000000-0002-0000-0100-000038010000}">
      <formula1>0</formula1>
    </dataValidation>
    <dataValidation type="list" operator="lessThanOrEqual" showInputMessage="1" showErrorMessage="1" promptTitle="Jlh KK Manfaatkn Energi Matahari" prompt=" " sqref="F557" xr:uid="{00000000-0002-0000-0100-000039010000}">
      <formula1>"Ada, Tidak Ada"</formula1>
    </dataValidation>
    <dataValidation type="list" operator="lessThanOrEqual" showInputMessage="1" showErrorMessage="1" promptTitle="Jlh KK Manfaatkn Energi Biomasa" prompt=" " sqref="F559" xr:uid="{00000000-0002-0000-0100-00003A010000}">
      <formula1>"Ada, Tidak Ada"</formula1>
    </dataValidation>
    <dataValidation type="list" operator="lessThanOrEqual" showInputMessage="1" showErrorMessage="1" promptTitle="Jlh KK Manfaatkn Energi Gas" prompt=" " sqref="F560" xr:uid="{00000000-0002-0000-0100-00003B010000}">
      <formula1>"Ada, Tidak Ada"</formula1>
    </dataValidation>
    <dataValidation type="list" operator="lessThanOrEqual" allowBlank="1" showInputMessage="1" showErrorMessage="1" promptTitle="Jlh KK Manfaatkn E-Hayati Cair" prompt=" " sqref="F561" xr:uid="{00000000-0002-0000-0100-00003C010000}">
      <formula1>"Ada, Tidak Ada"</formula1>
    </dataValidation>
    <dataValidation type="textLength" showInputMessage="1" showErrorMessage="1" promptTitle="Kearifan Budaya/Sosial khas Desa" prompt="Jika Tidak Ada diisi &quot; - &quot;" sqref="F326" xr:uid="{00000000-0002-0000-0100-00003D010000}">
      <formula1>1</formula1>
      <formula2>IF(OR(F325="",F325=1),1,50)</formula2>
    </dataValidation>
    <dataValidation type="textLength" showInputMessage="1" showErrorMessage="1" promptTitle="Kearifan SosBud dipertahankan" prompt="Jika Tidak Ada diisi &quot; - &quot;" sqref="F328" xr:uid="{00000000-0002-0000-0100-00003E010000}">
      <formula1>1</formula1>
      <formula2>IF(OR(F327="",F327=1),1,50)</formula2>
    </dataValidation>
    <dataValidation type="textLength" showInputMessage="1" showErrorMessage="1" error="Jika Tidak Ada diisi &quot;-&quot;_x000a_Jika Ada, Sebutkan" promptTitle="Ekonomi Kreatif Kearifan Lokal" prompt="Sebutkan, Jika Tidak Ada Diisi dengan Tanda &quot; - &quot;" sqref="F409" xr:uid="{00000000-0002-0000-0100-00003F010000}">
      <formula1>IF(F408=5,4,1)</formula1>
      <formula2>IF(OR(F408="",F408=1),1,50)</formula2>
    </dataValidation>
    <dataValidation type="list" allowBlank="1" showInputMessage="1" showErrorMessage="1" promptTitle="Kerjasama Desa dgn Pihak Ketiga" prompt="1: Belum_x000a_5: Sudah" sqref="F412" xr:uid="{00000000-0002-0000-0100-000040010000}">
      <formula1>"1,5"</formula1>
    </dataValidation>
    <dataValidation allowBlank="1" showInputMessage="1" showErrorMessage="1" promptTitle="Akses Sarana Menuju Pasar" prompt="1: Sangat Sulit_x000a_2: Sulit_x000a_3: Sedang_x000a_4: Mudah_x000a_5: Sangat Mudah" sqref="F424" xr:uid="{00000000-0002-0000-0100-000041010000}"/>
    <dataValidation type="list" showInputMessage="1" showErrorMessage="1" promptTitle="Tersedia Toko/Pertokoan di Desa" prompt="1: Tidak ada_x000a_5: Ada" sqref="F426" xr:uid="{00000000-0002-0000-0100-000042010000}">
      <formula1>"1,5"</formula1>
    </dataValidation>
    <dataValidation type="list" showInputMessage="1" showErrorMessage="1" promptTitle="Ketersediaan Penginapan di Desa" prompt="1: Tidak ada_x000a_5: Ada" sqref="F438" xr:uid="{00000000-0002-0000-0100-000043010000}">
      <formula1>"1,5"</formula1>
    </dataValidation>
    <dataValidation allowBlank="1" showInputMessage="1" showErrorMessage="1" promptTitle="Akses Sarana Menuju Pos/Logistik" prompt="1: Sangat Sulit_x000a_2: Sulit_x000a_3: Sedang_x000a_4: Mudah_x000a_5: Sangat Mudah" sqref="F448" xr:uid="{00000000-0002-0000-0100-000044010000}"/>
    <dataValidation type="list" showInputMessage="1" showErrorMessage="1" promptTitle="Keberadaan Bumdes Bersama" prompt="2: Tidak Ada_x000a_6: Ada, Belum Berbadan Hukum_x000a_10: Ada, Sudah Berbadan Hukum" sqref="F454" xr:uid="{00000000-0002-0000-0100-000045010000}">
      <formula1>"2,6,10"</formula1>
    </dataValidation>
    <dataValidation type="textLength" showInputMessage="1" showErrorMessage="1" promptTitle="Upaya menjaga kearifan lingkunga" prompt="sebutkan_x000a_jika tidak ada diisi &quot; - &quot;" sqref="F475" xr:uid="{00000000-0002-0000-0100-000046010000}">
      <formula1>1</formula1>
      <formula2>IF(OR(F474="",F474=1),1,150)</formula2>
    </dataValidation>
    <dataValidation type="list" showInputMessage="1" showErrorMessage="1" error="Cek Keberadaan Rumah Teraliri Listrik Bersumber dari Non-PLN" promptTitle="Sumber Listrik Energi Panas Bumi" prompt="Ada_x000a_Tidak Ada" sqref="F562" xr:uid="{00000000-0002-0000-0100-000047010000}">
      <formula1>IF(OR($F$554="",$F$554=0),tidakada,adatidak)</formula1>
    </dataValidation>
    <dataValidation type="textLength" showInputMessage="1" showErrorMessage="1" error="Jika Sampah Tidak Diolah diisi dengan tanda &quot; - &quot;" promptTitle="Jenis Pengolahan Sampah" prompt="Jika Tidak ada diisi &quot; - &quot;" sqref="F485" xr:uid="{00000000-0002-0000-0100-000048010000}">
      <formula1>IF(F484=5,4,1)</formula1>
      <formula2>IF(OR(F484="",F484=1),1,100)</formula2>
    </dataValidation>
    <dataValidation type="textLength" showInputMessage="1" showErrorMessage="1" error="Jika Sampah Tidak Dimanfaatkan diisi dengan tanda &quot; - &quot;" promptTitle="Jenis Pemanfaatan Sampah" prompt="Jika tidak ada diisi &quot; - &quot;" sqref="F487" xr:uid="{00000000-0002-0000-0100-000049010000}">
      <formula1>IF(F486=5,4,1)</formula1>
      <formula2>IF(OR(F486="",F486=1),1,100)</formula2>
    </dataValidation>
    <dataValidation allowBlank="1" showInputMessage="1" showErrorMessage="1" promptTitle="Kemudahan Akses Mitigasi Bencana" prompt="1: Sangat Sulit_x000a_2: Sulit_x000a_3: Sedang_x000a_4: Mudah_x000a_5: Sangat Mudah" sqref="F523" xr:uid="{00000000-0002-0000-0100-00004A010000}"/>
    <dataValidation type="list" showInputMessage="1" showErrorMessage="1" promptTitle="Kualitas Jalan Kabupaten di desa" prompt="0: Tidak Ada_x000a_1: Rusak berat, tidak dapat dilalui setiap hari_x000a_2: Rusak sedang, tidak dapat dilalui setiap hari_x000a_4: Rusak sedang, dapat dilalui setiap hari_x000a_5: Baik, dapat dilalui setiap hari" sqref="F533" xr:uid="{00000000-0002-0000-0100-00004B010000}">
      <formula1>"0,1,2,3,4,5"</formula1>
    </dataValidation>
    <dataValidation type="list" showInputMessage="1" showErrorMessage="1" promptTitle="Kualitas Jalan Desa" prompt="0: Tidak Ada_x000a_1: Rusak berat, tidak dapat dilalui setiap hari_x000a_2: Rusak sedang, tidak dapat dilalui setiap hari_x000a_4: Rusak sedang, dapat dilalui setiap hari_x000a_5: Baik, dapat dilalui setiap hari" sqref="F534" xr:uid="{00000000-0002-0000-0100-00004C010000}">
      <formula1>"0,1,2,3,4,5"</formula1>
    </dataValidation>
    <dataValidation type="list" showInputMessage="1" showErrorMessage="1" promptTitle="Kualitas Jalan Nasional di desa" prompt="0: Tidak Ada_x000a_1: Rusak berat, tidak dapat dilalui setiap hari_x000a_2: Rusak sedang, tidak dapat dilalui setiap hari_x000a_4: Rusak sedang, dapat dilalui setiap hari_x000a_5: Baik, dapat dilalui setiap hari" sqref="F531" xr:uid="{00000000-0002-0000-0100-00004D010000}">
      <formula1>"0,1,2,3,4,5"</formula1>
    </dataValidation>
    <dataValidation type="list" showInputMessage="1" showErrorMessage="1" promptTitle="Kualitas Jalan Provinsi  di desa" prompt="0: Tidak Ada_x000a_1: Rusak berat, tidak dapat dilalui setiap hari_x000a_2: Rusak sedang, tidak dapat dilalui setiap hari_x000a_4: Rusak sedang, dapat dilalui setiap hari_x000a_5: Baik, dapat dilalui setiap hari" sqref="F532" xr:uid="{00000000-0002-0000-0100-00004E010000}">
      <formula1>"0,1,2,3,4,5"</formula1>
    </dataValidation>
    <dataValidation type="list" showInputMessage="1" showErrorMessage="1" promptTitle="Operasional PJU di desa" prompt="1: Tidak Teraliri Listrik_x000a_2: &lt; 6 Jam dlm 1 hari_x000a_4: 6-12 Jam dlm 1 hari_x000a_5: &gt; 12 Jam dlm 1 hari" sqref="F538" xr:uid="{00000000-0002-0000-0100-00004F010000}">
      <formula1>IF(OR($F$537=1,$F$537=""),satu,duaempatlima)</formula1>
    </dataValidation>
    <dataValidation type="whole" showInputMessage="1" showErrorMessage="1" promptTitle="Hasil Usaha Tahun Sebelumnya" prompt="diisi dengan angka" sqref="F138" xr:uid="{00000000-0002-0000-0100-000050010000}">
      <formula1>0</formula1>
      <formula2>IF(OR(F136="",F136=1),0,50000000000)</formula2>
    </dataValidation>
    <dataValidation type="whole" showInputMessage="1" showErrorMessage="1" promptTitle="Hasil Aset Tahun Sebelumnya" prompt="diisi dengan angka" sqref="F139" xr:uid="{00000000-0002-0000-0100-000051010000}">
      <formula1>0</formula1>
      <formula2>IF(OR(F136="",F136=1),0,50000000000)</formula2>
    </dataValidation>
    <dataValidation type="whole" showInputMessage="1" showErrorMessage="1" promptTitle="Swadaya, Partisipasi, Goroyong" prompt="diisi dengan angka" sqref="F140" xr:uid="{00000000-0002-0000-0100-000052010000}">
      <formula1>0</formula1>
      <formula2>IF(OR(F136="",F136=1),0,50000000000)</formula2>
    </dataValidation>
    <dataValidation type="whole" showInputMessage="1" showErrorMessage="1" promptTitle="Sumber PADes lainnya " prompt="diisi dengan angka" sqref="F141" xr:uid="{00000000-0002-0000-0100-000053010000}">
      <formula1>0</formula1>
      <formula2>IF(OR(F136="",F136=1),0,50000000000)</formula2>
    </dataValidation>
    <dataValidation type="whole" showInputMessage="1" showErrorMessage="1" promptTitle="Besaran PADes 2023" prompt="diisi dengan angka" sqref="F143" xr:uid="{00000000-0002-0000-0100-000054010000}">
      <formula1>0</formula1>
      <formula2>50000000000</formula2>
    </dataValidation>
    <dataValidation type="list" allowBlank="1" showInputMessage="1" showErrorMessage="1" promptTitle="Aset Berupa Kantor Desa" prompt="1: Tidak Ada_x000a_3: Ada, tidak produktif untuk Kepentingan Masyarakat_x000a_5: Ada, produktif untuk Kepentingan Masyarakat" sqref="F152" xr:uid="{00000000-0002-0000-0100-000055010000}">
      <formula1>"1,3,5"</formula1>
    </dataValidation>
    <dataValidation type="list" allowBlank="1" showInputMessage="1" showErrorMessage="1" promptTitle="Buku Peraturan Desa" prompt="Diisi_x000a_Tidak Diisi" sqref="F54" xr:uid="{00000000-0002-0000-0100-000056010000}">
      <formula1>IF(OR($F$52="Belum",$F$52=""),tidakdiisi,diisi)</formula1>
    </dataValidation>
    <dataValidation type="whole" showInputMessage="1" showErrorMessage="1" error="Jlh Musdes Terancana dan Insidental harus sesuai Range Jumlah MusDes di Desa" promptTitle="Jumlah Musyawarah Terencana" prompt="( Diisi Angka)" sqref="F106" xr:uid="{00000000-0002-0000-0100-000057010000}">
      <formula1>0</formula1>
      <formula2>IF(F105=1,2,IF(F105=2,4,IF(F105=3,6,IF(F105=4,9,IF(F105=5,12)))))</formula2>
    </dataValidation>
    <dataValidation allowBlank="1" showInputMessage="1" showErrorMessage="1" promptTitle="Tanggal Isi Kuesioner ID" prompt="Di ambil dari Sheet Persetujuan" sqref="F7" xr:uid="{00000000-0002-0000-0100-000058010000}"/>
    <dataValidation type="whole" allowBlank="1" showInputMessage="1" showErrorMessage="1" promptTitle="Nomor Telp Informan yg Aktif" prompt="Di isi tanpa awalan angka NOL (0)_x000a_contoh:_x000a_8171234567890" sqref="F15" xr:uid="{00000000-0002-0000-0100-000059010000}">
      <formula1>81111111</formula1>
      <formula2>899999999999</formula2>
    </dataValidation>
    <dataValidation type="whole" showInputMessage="1" showErrorMessage="1" promptTitle="Tahun Lahir Informan" prompt=" " sqref="F17" xr:uid="{00000000-0002-0000-0100-00005A010000}">
      <formula1>1950</formula1>
      <formula2>2010</formula2>
    </dataValidation>
    <dataValidation type="list" showInputMessage="1" showErrorMessage="1" promptTitle="Bulan Lahir Informan" prompt=" " sqref="F18" xr:uid="{00000000-0002-0000-0100-00005B010000}">
      <formula1>tanggal</formula1>
    </dataValidation>
    <dataValidation type="whole" showInputMessage="1" showErrorMessage="1" error="Bulan Februari tidak lebih dari 29" promptTitle="Tanggal Lahir Informan" prompt=" diisi angka_x000a_1-31" sqref="F19" xr:uid="{00000000-0002-0000-0100-00005C010000}">
      <formula1>1</formula1>
      <formula2>IF(F18="februari",29,IF(OR(F19="januari",F19="maret",F19="mei",F19="juli",F19="agustus",F19="oktober",F19="desember"),31,30))</formula2>
    </dataValidation>
    <dataValidation type="list" showInputMessage="1" showErrorMessage="1" promptTitle="Buku Keputusan Kepala Desa" prompt="Diisi_x000a_Tidak Diisi" sqref="F55" xr:uid="{00000000-0002-0000-0100-00005D010000}">
      <formula1>IF(OR($F$52="Belum",$F$52=""),tidakdiisi,diisi)</formula1>
    </dataValidation>
    <dataValidation type="list" showInputMessage="1" showErrorMessage="1" promptTitle="Buku Inventaris &amp; Kekayaan Desa" prompt="Diisi_x000a_Tidak Diisi" sqref="F56" xr:uid="{00000000-0002-0000-0100-00005E010000}">
      <formula1>IF(OR($F$52="Belum",$F$52=""),tidakdiisi,diisi)</formula1>
    </dataValidation>
    <dataValidation type="list" showInputMessage="1" showErrorMessage="1" promptTitle="Buku Aparat Pemerintah Desa" prompt="Diisi_x000a_Tidak Diisi" sqref="F57" xr:uid="{00000000-0002-0000-0100-00005F010000}">
      <formula1>IF(OR($F$52="Belum",$F$52=""),tidakdiisi,diisi)</formula1>
    </dataValidation>
    <dataValidation type="list" showInputMessage="1" showErrorMessage="1" promptTitle="Buku Tanah Kas Desa" prompt="Diisi_x000a_Tidak Diisi" sqref="F58" xr:uid="{00000000-0002-0000-0100-000060010000}">
      <formula1>IF(OR($F$52="Belum",$F$52=""),tidakdiisi,diisi)</formula1>
    </dataValidation>
    <dataValidation type="list" showInputMessage="1" showErrorMessage="1" promptTitle="Buku Agenda Desa" prompt="Diisi_x000a_Tidak Diisi" sqref="F59" xr:uid="{00000000-0002-0000-0100-000061010000}">
      <formula1>IF(OR($F$52="Belum",$F$52=""),tidakdiisi,diisi)</formula1>
    </dataValidation>
    <dataValidation type="list" showInputMessage="1" showErrorMessage="1" promptTitle="Buku Ekspedisi Desa" prompt="Diisi_x000a_Tidak Diisi" sqref="F60" xr:uid="{00000000-0002-0000-0100-000062010000}">
      <formula1>IF(OR($F$52="Belum",$F$52=""),tidakdiisi,diisi)</formula1>
    </dataValidation>
    <dataValidation type="list" showInputMessage="1" showErrorMessage="1" promptTitle="Buku Induk Penduduk" prompt="Diisi_x000a_Tidak Diisi" sqref="F64" xr:uid="{00000000-0002-0000-0100-000063010000}">
      <formula1>IF(OR($F$62="Belum",$F$62=""),tidakdiisi,diisi)</formula1>
    </dataValidation>
    <dataValidation type="list" showInputMessage="1" showErrorMessage="1" promptTitle="Buku Mutasi Penduduk Desa" prompt="Diisi_x000a_Tidak Diisi" sqref="F65" xr:uid="{00000000-0002-0000-0100-000064010000}">
      <formula1>IF(OR($F$62="Belum",$F$62=""),tidakdiisi,diisi)</formula1>
    </dataValidation>
    <dataValidation type="list" showInputMessage="1" showErrorMessage="1" promptTitle="Buku Rekapitulasi Jlh Penduduk" prompt="Diisi_x000a_Tidak Diisi" sqref="F66" xr:uid="{00000000-0002-0000-0100-000065010000}">
      <formula1>IF(OR($F$62="Belum",$F$62=""),tidakdiisi,diisi)</formula1>
    </dataValidation>
    <dataValidation type="list" showInputMessage="1" showErrorMessage="1" promptTitle="Buku Penduduk Sementara" prompt="Diisi_x000a_Tidak Diisi" sqref="F67" xr:uid="{00000000-0002-0000-0100-000066010000}">
      <formula1>IF(OR($F$62="Belum",$F$62=""),tidakdiisi,diisi)</formula1>
    </dataValidation>
    <dataValidation type="list" showInputMessage="1" showErrorMessage="1" promptTitle="Buku APB Desa" prompt="Diisi_x000a_Tidak Diisi" sqref="F71" xr:uid="{00000000-0002-0000-0100-000067010000}">
      <formula1>IF(OR($F$69="Belum",$F$69=""),tidakdiisi,diisi)</formula1>
    </dataValidation>
    <dataValidation type="list" showInputMessage="1" showErrorMessage="1" promptTitle="Buku Rencana Anggaran Biaya" prompt="Diisi_x000a_Tidak Diisi" sqref="F72" xr:uid="{00000000-0002-0000-0100-000068010000}">
      <formula1>IF(OR($F$69="Belum",$F$69=""),tidakdiisi,diisi)</formula1>
    </dataValidation>
    <dataValidation type="list" showInputMessage="1" showErrorMessage="1" promptTitle="Buku Kas Pembantu Kegiatan" prompt="Diisi_x000a_Tidak Diisi" sqref="F73" xr:uid="{00000000-0002-0000-0100-000069010000}">
      <formula1>IF(OR($F$69="Belum",$F$69=""),tidakdiisi,diisi)</formula1>
    </dataValidation>
    <dataValidation type="list" showInputMessage="1" showErrorMessage="1" promptTitle="Buku Kas Umum" prompt="Diisi_x000a_Tidak Diisi" sqref="F74" xr:uid="{00000000-0002-0000-0100-00006A010000}">
      <formula1>IF(OR($F$69="Belum",$F$69=""),tidakdiisi,diisi)</formula1>
    </dataValidation>
    <dataValidation type="list" showInputMessage="1" showErrorMessage="1" promptTitle="Buku Kas Pembantu" prompt="Diisi_x000a_Tidak Diisi" sqref="F75" xr:uid="{00000000-0002-0000-0100-00006B010000}">
      <formula1>IF(OR($F$69="Belum",$F$69=""),tidakdiisi,diisi)</formula1>
    </dataValidation>
    <dataValidation type="list" showInputMessage="1" showErrorMessage="1" promptTitle="Buku Rencana Pembangunan Desa" prompt="Diisi_x000a_Tidak Diisi" sqref="F79" xr:uid="{00000000-0002-0000-0100-00006C010000}">
      <formula1>IF(OR($F$77="Belum",$F$77=""),tidakdiisi,diisi)</formula1>
    </dataValidation>
    <dataValidation type="list" showInputMessage="1" showErrorMessage="1" promptTitle="Buku Kegiatan Pembangunan" prompt="Diisi_x000a_Tidak Diisi" sqref="F80" xr:uid="{00000000-0002-0000-0100-00006D010000}">
      <formula1>IF(OR($F$77="Belum",$F$77=""),tidakdiisi,diisi)</formula1>
    </dataValidation>
    <dataValidation type="list" showInputMessage="1" showErrorMessage="1" promptTitle="Bk Inventarisasi Hasil Pbangunan" prompt="Diisi_x000a_Tidak Diisi" sqref="F81" xr:uid="{00000000-0002-0000-0100-00006E010000}">
      <formula1>IF(OR($F$77="Belum",$F$77=""),tidakdiisi,diisi)</formula1>
    </dataValidation>
    <dataValidation type="list" showInputMessage="1" showErrorMessage="1" promptTitle="Buku Adminsitrasi BPD" prompt="Diisi_x000a_Tidak Diisi" sqref="F85" xr:uid="{00000000-0002-0000-0100-00006F010000}">
      <formula1>IF(OR($F$83="Belum",$F$83=""),tidakdiisi,diisi)</formula1>
    </dataValidation>
    <dataValidation type="list" showInputMessage="1" showErrorMessage="1" promptTitle="Buku Musyawarah Desa" prompt="Diisi_x000a_Tidak Diisi" sqref="F86" xr:uid="{00000000-0002-0000-0100-000070010000}">
      <formula1>IF(OR($F$83="Belum",$F$83=""),tidakdiisi,diisi)</formula1>
    </dataValidation>
    <dataValidation type="list" showInputMessage="1" showErrorMessage="1" error="Cek Keberadaan Rumah Teraliri Listrik Bersumber dari Non-PLN dan Jenis Tipologi Desa" promptTitle="Sumber EBT Pasang Surut" prompt="Ada_x000a_Tidak Ada" sqref="F563" xr:uid="{00000000-0002-0000-0100-000071010000}">
      <formula1>IF(OR($F$115="",$F$115&lt;&gt;"pesisir",$F$554=0),tidakada,adatidak)</formula1>
    </dataValidation>
    <dataValidation type="list" showInputMessage="1" showErrorMessage="1" error="Cek Keberadaan Rumah Teraliri Listrik Bersumber dari Non-PLN dan Jenis Tipologi Desa" promptTitle="Sumber Listrik Energi Arus Laut" prompt="Ada_x000a_Tidak Ada" sqref="F564" xr:uid="{00000000-0002-0000-0100-000072010000}">
      <formula1>IF(OR($F$115="",$F$115&lt;&gt;"pesisir",$F$554=0),tidakada,adatidak)</formula1>
    </dataValidation>
    <dataValidation type="whole" showInputMessage="1" showErrorMessage="1" error="Tidak Lebih Besar dari 3/4 Jlh Penduduk di desa" promptTitle="Total Kepala Keluarga di Desa" prompt=" " sqref="F122" xr:uid="{00000000-0002-0000-0100-000073010000}">
      <formula1>0</formula1>
      <formula2>(3/4)*F118</formula2>
    </dataValidation>
    <dataValidation type="whole" showInputMessage="1" showErrorMessage="1" errorTitle="PESERTA BPJS/JKN/KIS" error="Jumlah Peserta BPJS/JKN/KIS tidak lebih dari Jumlah Penduduk di Desa" promptTitle="Jumlah Warga T'daftar BPJS" prompt="Input Menggunakan Angka" sqref="F302" xr:uid="{00000000-0002-0000-0100-000074010000}">
      <formula1>0</formula1>
      <formula2>IF(OR(F118="",F118=0),0,F118)</formula2>
    </dataValidation>
    <dataValidation type="whole" showInputMessage="1" showErrorMessage="1" error="Tidak Lebih 3 per 4 (3/4) dari Total Jumlah Penduduk" promptTitle="Jumlah Rumah yang dihuni di desa" prompt="diisi dengan angka" sqref="F124" xr:uid="{00000000-0002-0000-0100-000075010000}">
      <formula1>0</formula1>
      <formula2>(3/4)*F118</formula2>
    </dataValidation>
    <dataValidation type="whole" showInputMessage="1" showErrorMessage="1" error="Tidak lebih besar dari Jumlah Rumah di Desa" promptTitle="Jumlah Rumah Terakses Air Minum" prompt="(Diisi Angka)" sqref="F314" xr:uid="{00000000-0002-0000-0100-000076010000}">
      <formula1>0</formula1>
      <formula2>IF(OR(F124="",F124=0),0,F124)</formula2>
    </dataValidation>
    <dataValidation type="whole" showInputMessage="1" showErrorMessage="1" error="Jika Sebagian Besar TIDAK ADA Jamban Rumah Tangga di Desa, maka Rumah yg memiliki Jamban Individu &lt;= Setengah dari Total Rumah di Desa._x000a_Tidak lebih besar dari Jumlah rumah di Desa." promptTitle="Jumlah Rumah Memiliki Jamban" prompt="(Diisi Angka)" sqref="F496" xr:uid="{00000000-0002-0000-0100-000077010000}">
      <formula1>0</formula1>
      <formula2>IF(OR($F$124=0,$F$124=""),0,IF(F495="Tidak Ada",(0.5*$F$124),$F$124))</formula2>
    </dataValidation>
    <dataValidation type="whole" operator="lessThanOrEqual" allowBlank="1" showInputMessage="1" showErrorMessage="1" promptTitle="Jlh KK Manfaatkn Energi Angin" prompt=" " sqref="F558:F559" xr:uid="{00000000-0002-0000-0100-000078010000}">
      <formula1>$F$122</formula1>
    </dataValidation>
    <dataValidation type="whole" showInputMessage="1" showErrorMessage="1" promptTitle="Jlh Penduduk Usia &gt;= 59 Tahun" prompt="Diisi Dengan Angka" sqref="F132" xr:uid="{00000000-0002-0000-0100-000079010000}">
      <formula1>0</formula1>
      <formula2>IF(SUM($F$126:$F$132)&lt;=$F$118,$F$118,0)</formula2>
    </dataValidation>
    <dataValidation type="whole" showInputMessage="1" showErrorMessage="1" errorTitle="PERHATIAN" error="Tidak Melebihi Jumlah Anak 3-6 Tahun di Desa" promptTitle="Jlh Anak Usia PAUD Bersekolah" prompt="diisi angka" sqref="F178" xr:uid="{00000000-0002-0000-0100-00007A010000}">
      <formula1>0</formula1>
      <formula2>IF(F127="",0,F127)</formula2>
    </dataValidation>
    <dataValidation type="whole" showInputMessage="1" showErrorMessage="1" errorTitle="PERHATIAN" error="Tidak Melebihi Jumlah Anak 7-12 Tahun di Desa" promptTitle="Jlh Anak Usia SD Bersekolah" prompt="diisi dengan Angka" sqref="F189" xr:uid="{00000000-0002-0000-0100-00007B010000}">
      <formula1>0</formula1>
      <formula2>IF(F128="",0,F128)</formula2>
    </dataValidation>
    <dataValidation type="whole" showInputMessage="1" showErrorMessage="1" error="Tidak lebih dari jlh usia anak sekolah di desa" promptTitle="Jlh Anak Usia SMA Bersekolah" prompt="Diisi dengan angka" sqref="F211" xr:uid="{00000000-0002-0000-0100-00007C010000}">
      <formula1>0</formula1>
      <formula2>IF(OR(F130="",F130=0),0,F130)</formula2>
    </dataValidation>
    <dataValidation type="whole" showInputMessage="1" showErrorMessage="1" errorTitle="PERHATIAN" error="Tidak Melebihi Jumlah Anak 7-12 Tahun di Desa" promptTitle="Jlh Anak Usia SMP Bersekolah" prompt="diisi dengan angka" sqref="F200" xr:uid="{00000000-0002-0000-0100-00007D010000}">
      <formula1>0</formula1>
      <formula2>IF(F129="",0,F129)</formula2>
    </dataValidation>
    <dataValidation type="list" showInputMessage="1" showErrorMessage="1" promptTitle="Aktivitas Posyandu" prompt="5: Ada dan Aktivitas Rutin &gt;= 12 Kali per tahun_x000a_4: Ada dan Aktivitas Rutin 8 - 11 Kali per tahun_x000a_3: Ada dan Aktivitas Rutin 5 - 8 Kali per tahun_x000a_2: Ada dan Aktivitas Rutin 1 - 4 Kali per tahun_x000a_1: Tidak Ada" sqref="F241" xr:uid="{00000000-0002-0000-0100-00007E010000}">
      <formula1>IF(OR($F$240="",$F$240=1),satu,limadua)</formula1>
    </dataValidation>
    <dataValidation type="list" showInputMessage="1" showErrorMessage="1" promptTitle="Lama/Hari Sedia Layanan Bidan" prompt="1: Tidak memiliki waktu operasional yang tetap_x000a_3: Tersedia 1 kali lebih dari seminggu_x000a_5: Tersedia 1 kali dalam seminggu" sqref="F280" xr:uid="{00000000-0002-0000-0100-00007F010000}">
      <formula1>IF(OR($F$273="",$F$273=1),satu,satutigalima)</formula1>
    </dataValidation>
    <dataValidation type="list" showInputMessage="1" showErrorMessage="1" promptTitle="Layanan Dokter berasal dari?" prompt="1. Tidak Ada_x000a_3. Yayasan/ swasta_x000a_5. Pemerintah" sqref="F264" xr:uid="{00000000-0002-0000-0100-000080010000}">
      <formula1>IF(OR($F$255="",$F$255=1),satu,tigalima)</formula1>
    </dataValidation>
    <dataValidation type="list" showInputMessage="1" showErrorMessage="1" promptTitle="Transportasi ke Layanan Dokter" prompt="1: Tidak Tersedia Sarana Transportasi_x000a_5: Tersedia Sarana Transportasi" sqref="F265" xr:uid="{00000000-0002-0000-0100-000081010000}">
      <formula1>IF(OR($F$255="",$F$255=1),satu,satudanlima)</formula1>
    </dataValidation>
    <dataValidation type="list" showInputMessage="1" showErrorMessage="1" promptTitle="Lama/Hari Sedia Layanan Dokter" prompt="1: Tidak memiliki waktu operasional yang tetap_x000a_3: Tersedia 1 kali lebih dari seminggu_x000a_5: Tersedia 1 kali dalam seminggu" sqref="F263" xr:uid="{00000000-0002-0000-0100-000082010000}">
      <formula1>IF(OR($F$255="",$F$255=1),satu,satutigalima)</formula1>
    </dataValidation>
    <dataValidation type="list" showInputMessage="1" showErrorMessage="1" promptTitle="Jumlah Fasilitas Praktik Dokter" prompt="(Diisi Angka)" sqref="F262" xr:uid="{00000000-0002-0000-0100-000083010000}">
      <formula1>IF(OR($F$255="",$F$255=1),nol,satulima)</formula1>
    </dataValidation>
    <dataValidation type="list" showInputMessage="1" showErrorMessage="1" promptTitle="Layanan Dokter Rumah Bersalin" prompt="Ada_x000a_Tidak Ada" sqref="F261" xr:uid="{00000000-0002-0000-0100-000084010000}">
      <formula1>IF(OR($F$255="",$F$255=1),tidakada,adatidak)</formula1>
    </dataValidation>
    <dataValidation type="list" showInputMessage="1" showErrorMessage="1" promptTitle="Layanan Dokter Melalui Puskesmas" prompt="Ada_x000a_Tidak Ada" sqref="F258" xr:uid="{00000000-0002-0000-0100-000085010000}">
      <formula1>IF(OR($F$255="",$F$255=1),tidakada,adatidak)</formula1>
    </dataValidation>
    <dataValidation type="list" showInputMessage="1" showErrorMessage="1" promptTitle="Layanan Dokter Melalui RS" prompt="Ada_x000a_Tidak Ada" sqref="F257" xr:uid="{00000000-0002-0000-0100-000086010000}">
      <formula1>IF(OR($F$255="",$F$255=1),tidakada,adatidak)</formula1>
    </dataValidation>
    <dataValidation type="list" showInputMessage="1" showErrorMessage="1" promptTitle="Layanan Tempat Praktik Dokter" prompt="Ada_x000a_Tidak Ada" sqref="F259" xr:uid="{00000000-0002-0000-0100-000087010000}">
      <formula1>IF(OR($F$255="",$F$255=1),tidakada,adatidak)</formula1>
    </dataValidation>
    <dataValidation type="list" showInputMessage="1" showErrorMessage="1" promptTitle="Layanan Tempat Praktik Bidan" prompt="Ada_x000a_Tidak Ada" sqref="F260" xr:uid="{00000000-0002-0000-0100-000088010000}">
      <formula1>IF(OR($F$255="",$F$255=1),tidakada,adatidak)</formula1>
    </dataValidation>
    <dataValidation type="list" showInputMessage="1" showErrorMessage="1" promptTitle="Transportasi ke Layanan Bidan" prompt="1: Tidak Tersedia Sarana Transportasi_x000a_5: Tersedia Sarana Transportasi" sqref="F282" xr:uid="{00000000-0002-0000-0100-000089010000}">
      <formula1>IF(OR($F$273="",$F$273=1),satu,satudanlima)</formula1>
    </dataValidation>
    <dataValidation type="list" showInputMessage="1" showErrorMessage="1" promptTitle="Transportasi ke Layanan Bidan" prompt="1. Tidak Ada_x000a_3. Yayasan/ swasta_x000a_5. Pemerintah" sqref="F281" xr:uid="{00000000-0002-0000-0100-00008A010000}">
      <formula1>IF(OR($F$273=1,$F$273=""),satu,tigalima)</formula1>
    </dataValidation>
    <dataValidation type="list" showInputMessage="1" showErrorMessage="1" promptTitle="Layanan Bidan Rumah Bersalin" prompt="Ada_x000a_Tidak Ada" sqref="F279" xr:uid="{00000000-0002-0000-0100-00008B010000}">
      <formula1>IF(OR($F$273="",$F$273=1),tidakada,adatidak)</formula1>
    </dataValidation>
    <dataValidation type="list" showInputMessage="1" showErrorMessage="1" promptTitle="Layanan Bidan Melalui Puskesmas" prompt="Ada_x000a_Tidak Ada" sqref="F276" xr:uid="{00000000-0002-0000-0100-00008C010000}">
      <formula1>IF(OR($F$273="",$F$273=1),tidakada,adatidak)</formula1>
    </dataValidation>
    <dataValidation type="list" showInputMessage="1" showErrorMessage="1" promptTitle="Layanan Bidan Melalui RS" prompt="Ada_x000a_Tidak Ada" sqref="F275" xr:uid="{00000000-0002-0000-0100-00008D010000}">
      <formula1>IF(OR($F$273="",$F$273=1),tidakada,adatidak)</formula1>
    </dataValidation>
    <dataValidation type="list" showInputMessage="1" showErrorMessage="1" promptTitle="Layanan Tempat Praktik Bidan" prompt="Ada_x000a_Tidak Ada" sqref="F278" xr:uid="{00000000-0002-0000-0100-00008E010000}">
      <formula1>IF(OR($F$273="",$F$273=1),tidakada,adatidak)</formula1>
    </dataValidation>
    <dataValidation type="list" showInputMessage="1" showErrorMessage="1" promptTitle="Layanan Tempat Praktik Dokter" prompt="Ada_x000a_Tidak Ada" sqref="F277" xr:uid="{00000000-0002-0000-0100-00008F010000}">
      <formula1>IF(OR($F$273="",$F$273=1),tidakada,adatidak)</formula1>
    </dataValidation>
    <dataValidation type="list" showInputMessage="1" showErrorMessage="1" promptTitle="Transportasi ke Layanan Nakes" prompt="1: Tidak Tersedia Sarana Transportasi_x000a_5: Tersedia Sarana Transportasi" sqref="F294" xr:uid="{00000000-0002-0000-0100-000090010000}">
      <formula1>IF(OR($F$290="",$F$290=1),satu,satudanlima)</formula1>
    </dataValidation>
    <dataValidation type="list" showInputMessage="1" showErrorMessage="1" promptTitle="Perahu Layanan Nakes" prompt="Ada_x000a_Tidak Ada" sqref="F299" xr:uid="{00000000-0002-0000-0100-000091010000}">
      <formula1>IF(OR($F$294="",$F$294=1),tidakada,adatidak)</formula1>
    </dataValidation>
    <dataValidation type="list" showInputMessage="1" showErrorMessage="1" promptTitle="Motor Layanan Nakes" prompt="Ada_x000a_Tidak Ada" sqref="F298" xr:uid="{00000000-0002-0000-0100-000092010000}">
      <formula1>IF(OR($F$294="",$F$294=1),tidakada,adatidak)</formula1>
    </dataValidation>
    <dataValidation type="list" showInputMessage="1" showErrorMessage="1" promptTitle="Modil Pribadi Layanan Nakes" prompt="Ada_x000a_Tidak Ada" sqref="F297" xr:uid="{00000000-0002-0000-0100-000093010000}">
      <formula1>IF(OR($F$294="",$F$294=1),tidakada,adatidak)</formula1>
    </dataValidation>
    <dataValidation type="list" showInputMessage="1" showErrorMessage="1" promptTitle="Transportasi Umum Layanan Nakes" prompt="Ada_x000a_Tidak Ada" sqref="F296" xr:uid="{00000000-0002-0000-0100-000094010000}">
      <formula1>IF(OR($F$294="",$F$294=1),tidakada,adatidak)</formula1>
    </dataValidation>
    <dataValidation type="list" showInputMessage="1" showErrorMessage="1" promptTitle="Transportasi ke Layanan Nakes" prompt="1. Tidak Ada_x000a_3. Yayasan/  swasta_x000a_5. Pemerintah" sqref="F293" xr:uid="{00000000-0002-0000-0100-000095010000}">
      <formula1>IF(OR($F$290="",$F$290=1),satu,tigalima)</formula1>
    </dataValidation>
    <dataValidation type="list" showInputMessage="1" showErrorMessage="1" promptTitle="Lama/Hari Sedia Layanan Nakes" prompt="1: Tidak memiliki waktu operasional yang tetap_x000a_3: Tersedia 1 kali lebih dari seminggu_x000a_5: Tersedia 1 kali dalam seminggu" sqref="F292" xr:uid="{00000000-0002-0000-0100-000096010000}">
      <formula1>IF(OR($F$290="",$F$290=1),satu,satutigalima)</formula1>
    </dataValidation>
    <dataValidation type="whole" showInputMessage="1" showErrorMessage="1" error="Tidak Tersedia Layanan Kesehatan, Fasilitas Prktik Nakes Lainnya diisi Nol &quot; 0 &quot;" promptTitle="Jlh Fasilitas Praktik Nakes Lain" prompt="diisi angka" sqref="F291" xr:uid="{00000000-0002-0000-0100-000097010000}">
      <formula1>0</formula1>
      <formula2>IF(OR(F290="",F290=1),0,50)</formula2>
    </dataValidation>
    <dataValidation type="list" allowBlank="1" showInputMessage="1" showErrorMessage="1" promptTitle="Pembuangan Limbah Cair RT" prompt="1: Tidak Memiliki aliran khusus/ langsung dibuang ke Tanah/Sungau/Danau/Saluran Irigasi/Laut_x000a_5: Memiliki aliran khusus (seperti Lubang khusus/Resapan, dan Lainnya)" sqref="F502" xr:uid="{00000000-0002-0000-0100-000098010000}">
      <formula1>"1,5"</formula1>
    </dataValidation>
    <dataValidation type="list" showInputMessage="1" showErrorMessage="1" promptTitle="Terdapat Konflik Antar Agama" prompt="Ada_x000a_Tidak Ada" sqref="F356" xr:uid="{00000000-0002-0000-0100-000099010000}">
      <formula1>IF(OR($F$349="",$F$349="tidak ada"),tidakada,adatidak)</formula1>
    </dataValidation>
    <dataValidation type="list" showInputMessage="1" showErrorMessage="1" promptTitle="Terdapat Konflik Antar Suku" prompt="Ada_x000a_Tidak Ada" sqref="F355" xr:uid="{00000000-0002-0000-0100-00009A010000}">
      <formula1>IF(OR($F$349="",$F$349="tidak ada"),tidakada,adatidak)</formula1>
    </dataValidation>
    <dataValidation type="list" showInputMessage="1" showErrorMessage="1" promptTitle="Konflik antar Pelajar/Pemuda/" prompt="Ada_x000a_Tidak Ada" sqref="F354" xr:uid="{00000000-0002-0000-0100-00009B010000}">
      <formula1>IF(OR($F$349="",$F$349="tidak ada"),tidakada,adatidak)</formula1>
    </dataValidation>
    <dataValidation type="list" showInputMessage="1" showErrorMessage="1" promptTitle="Konflik Kel Masy dgn Pemerintah" prompt="Ada_x000a_Tidak Ada" sqref="F353" xr:uid="{00000000-0002-0000-0100-00009C010000}">
      <formula1>IF(OR($F$349="",$F$349="tidak ada"),tidakada,adatidak)</formula1>
    </dataValidation>
    <dataValidation type="list" showInputMessage="1" showErrorMessage="1" promptTitle="Konflik Kel Masyarkt dgn Aparat " prompt="Ada_x000a_Tidak Ada" sqref="F352" xr:uid="{00000000-0002-0000-0100-00009D010000}">
      <formula1>IF(OR($F$349="",$F$349="tidak ada"),tidakada,adatidak)</formula1>
    </dataValidation>
    <dataValidation type="list" showInputMessage="1" showErrorMessage="1" promptTitle="Konflik Kelompok Masy antar desa" prompt="Ada_x000a_Tidak Ada" sqref="F351" xr:uid="{00000000-0002-0000-0100-00009E010000}">
      <formula1>IF(OR($F$349="",$F$349="tidak ada"),tidakada,adatidak)</formula1>
    </dataValidation>
    <dataValidation type="list" showInputMessage="1" showErrorMessage="1" promptTitle="Hari Operasional Taman Baca" prompt="1: Tidak beroperasi_x000a_2: Beroperasi selama 1 hari_x000a_3: Beroperasi selama 2-3 hari_x000a_4: Beroperasi selama 4-5 hari_x000a_5: Beroperasi selama 6-7 hari" sqref="F376" xr:uid="{00000000-0002-0000-0100-00009F010000}">
      <formula1>IF(OR($F$375="",$F$375=1),satu,dualima)</formula1>
    </dataValidation>
    <dataValidation type="list" showInputMessage="1" showErrorMessage="1" promptTitle="Terdapat Satkamling" prompt="1: Tidak Ada_x000a_5: Ada" sqref="F371" xr:uid="{00000000-0002-0000-0100-0000A0010000}">
      <formula1>"1,5"</formula1>
    </dataValidation>
    <dataValidation type="list" showInputMessage="1" showErrorMessage="1" promptTitle="Penyedia Keterampilan Kursus" prompt="Tidak Ada_x000a_Pemerintah_x000a_Swasta_x000a_Masyarakat" sqref="F416" xr:uid="{00000000-0002-0000-0100-0000A1010000}">
      <formula1>IF(OR($F$414="",$F$414=1),tidakada,paud)</formula1>
    </dataValidation>
    <dataValidation type="list" showInputMessage="1" showErrorMessage="1" promptTitle="Keterlibatan Pendidikan Kursus" prompt="1: Tidak aktif_x000a_3: Melibatkan sebagian kecil/&lt;50% angkatan kerja yang tidak bekerja di desa_x000a_5: Melibatkan sebagian besar/≥50% angkatan kerja yang tidak bekerja di desa" sqref="F415" xr:uid="{00000000-0002-0000-0100-0000A2010000}">
      <formula1>IF(OR($F$414="",$F$414=1),satu,satutigalima)</formula1>
    </dataValidation>
    <dataValidation type="textLength" showInputMessage="1" showErrorMessage="1" promptTitle="Keterampilan Kursus yg Diajarkan" prompt="jika tidak ada diisi &quot; - &quot;" sqref="F417" xr:uid="{00000000-0002-0000-0100-0000A3010000}">
      <formula1>1</formula1>
      <formula2>IF(OR(F414="",F414=1),1,50)</formula2>
    </dataValidation>
    <dataValidation type="list" showInputMessage="1" showErrorMessage="1" promptTitle="Status Bumdesa di Desa" prompt="Status Bumdes di Desa_x000a_Aktif_x000a_Tidak Aktif" sqref="F451" xr:uid="{00000000-0002-0000-0100-0000A4010000}">
      <formula1>IF(OR($F$450=2,$F$450=""),tidakaktif,aktiftidak)</formula1>
    </dataValidation>
    <dataValidation type="textLength" showInputMessage="1" showErrorMessage="1" error="Tidak Terdapat Bumdesma" promptTitle="Nomor Sertifikat Bumdesma" prompt="Jika Tidak Ada diisi &quot; - &quot;" sqref="F456" xr:uid="{00000000-0002-0000-0100-0000A5010000}">
      <formula1>1</formula1>
      <formula2>IF(OR(F454=2,F454=""),1,50)</formula2>
    </dataValidation>
    <dataValidation type="list" showInputMessage="1" showErrorMessage="1" promptTitle="Status Bumdes Bersama di Desa" prompt="Aktif_x000a_Tidak Aktif" sqref="F455" xr:uid="{00000000-0002-0000-0100-0000A6010000}">
      <formula1>IF(OR($F$454=2,$F$454=""),tidakaktif,aktiftidak)</formula1>
    </dataValidation>
    <dataValidation type="list" showInputMessage="1" showErrorMessage="1" promptTitle="Ketersediaan UMKM" prompt="1: Tidak ada_x000a_5: Ada" sqref="F460" xr:uid="{00000000-0002-0000-0100-0000A7010000}">
      <formula1>IF(OR($F$458=1,$F$458=""),satu,satudanlima)</formula1>
    </dataValidation>
    <dataValidation type="list" showInputMessage="1" showErrorMessage="1" promptTitle="Ketersediaan KUD di Desa" prompt="1: Tidak Ada_x000a_5: Ada" sqref="F459" xr:uid="{00000000-0002-0000-0100-0000A8010000}">
      <formula1>IF(OR($F$458=1,$F$458=""),satu,satudanlima)</formula1>
    </dataValidation>
    <dataValidation type="list" showInputMessage="1" showErrorMessage="1" promptTitle="Sebagian Warga Membuang Sampah" prompt="Keterangan:_x000a_1 : Tempat Sampah Kemudian Diangkut_x000a_2 : Dalam Lubang atau Dibakar_x000a_3 : Sungai/ Saluran Irigasi/ Danau/ Laut/ Got/ Selokan_x000a_4 : Lainnya" sqref="F482" xr:uid="{00000000-0002-0000-0100-0000A9010000}">
      <formula1>IF(OR($F$481="",$F$481=1),duaempat,satu)</formula1>
    </dataValidation>
    <dataValidation type="textLength" showInputMessage="1" showErrorMessage="1" error="Cek Ketersediaan Transportasi penunjang menuju sarana kesehatan terdekat di desa" promptTitle="Transportasi Lainnya" prompt="(Sebutkan)_x000a_Jika Tidak Tersedia Transportasi Penunjang menuju sarana kesehatan diisi &quot; - &quot;" sqref="F231" xr:uid="{00000000-0002-0000-0100-0000AA010000}">
      <formula1>1</formula1>
      <formula2>IF(OR($F$224="",$F$224=2),1,20)</formula2>
    </dataValidation>
    <dataValidation type="list" showInputMessage="1" showErrorMessage="1" error="Cek Keberadaan Akses Telepon di Desa" promptTitle="Telkomsel" prompt="Operator / provider telepon seluler Telkomsel dapat menerima sinyal_x000a_Ada_x000a_Tidak Ada" sqref="F572" xr:uid="{00000000-0002-0000-0100-0000AB010000}">
      <formula1>IF(OR($F$570=1,$F$570=""),tidakada,adatidak)</formula1>
    </dataValidation>
    <dataValidation type="list" showInputMessage="1" showErrorMessage="1" error="Cek Keberadaan Akses Telepon di Desa" promptTitle="Indosat" prompt="Operator / provider telepon seluler Indosat dapat menerima sinyal_x000a_Ada_x000a_Tidak Ada" sqref="F573" xr:uid="{00000000-0002-0000-0100-0000AC010000}">
      <formula1>IF(OR($F$570=1,$F$570=""),tidakada,adatidak)</formula1>
    </dataValidation>
    <dataValidation type="list" showInputMessage="1" showErrorMessage="1" error="Cek Keberadaan Akses Telepon di Desa" promptTitle="Smartfren" prompt="Operator / provider telepon seluler XL dapat menerima sinyal_x000a_Ada_x000a_Tidak Ada" sqref="F576" xr:uid="{00000000-0002-0000-0100-0000AD010000}">
      <formula1>IF(OR($F$570=1,$F$570=""),tidakada,adatidak)</formula1>
    </dataValidation>
    <dataValidation type="list" showInputMessage="1" showErrorMessage="1" error="Cek Keberadaan Akses Telepon di Desa" promptTitle="XL" prompt="Operator / provider telepon seluler XL dapat menerima sinyal_x000a_Ada_x000a_Tidak Ada" sqref="F574" xr:uid="{00000000-0002-0000-0100-0000AE010000}">
      <formula1>IF(OR($F$570=1,$F$570=""),tidakada,adatidak)</formula1>
    </dataValidation>
    <dataValidation type="list" showInputMessage="1" showErrorMessage="1" error="Cek Keberadaan Akses Telepon di Desa" promptTitle="Axis" prompt="Operator / provider telepon seluler XL dapat menerima sinyal_x000a_Ada_x000a_Tidak Ada" sqref="F575" xr:uid="{00000000-0002-0000-0100-0000AF010000}">
      <formula1>IF(OR($F$570=1,$F$570=""),tidakada,adatidak)</formula1>
    </dataValidation>
    <dataValidation type="list" showInputMessage="1" showErrorMessage="1" promptTitle="KUK" prompt="1: Tidak Ada_x000a_5: Ada" sqref="F468" xr:uid="{00000000-0002-0000-0100-0000B0010000}">
      <formula1>"1,5"</formula1>
    </dataValidation>
    <dataValidation type="list" showInputMessage="1" showErrorMessage="1" promptTitle="KUR" prompt="1: Tidak Ada_x000a_5: Ada" sqref="F466" xr:uid="{00000000-0002-0000-0100-0000B1010000}">
      <formula1>"1,5"</formula1>
    </dataValidation>
    <dataValidation type="list" showInputMessage="1" showErrorMessage="1" promptTitle="KKP-E" prompt="1: Tidak Ada_x000a_5: Ada" sqref="F467" xr:uid="{00000000-0002-0000-0100-0000B2010000}">
      <formula1>"1,5"</formula1>
    </dataValidation>
    <dataValidation type="list" showInputMessage="1" showErrorMessage="1" promptTitle="Status Layanan Fasilitas Kredit" prompt="1: Tidak resmi_x000a_5: Resmi" sqref="F469" xr:uid="{00000000-0002-0000-0100-0000B3010000}">
      <formula1>IF(AND($F$464="tidak ada",SUM($F$466:$F$468)=3),satu,satudanlima)</formula1>
    </dataValidation>
    <dataValidation type="whole" showInputMessage="1" showErrorMessage="1" promptTitle="Jumlah Pengagngguran Terbuka" prompt="Diisi Dengan Angka" sqref="F133" xr:uid="{00000000-0002-0000-0100-0000B4010000}">
      <formula1>0</formula1>
      <formula2>10%*F118</formula2>
    </dataValidation>
    <dataValidation type="list" showInputMessage="1" showErrorMessage="1" promptTitle="Hari Operasional Bumdes/Bumdesma" prompt="1: Tidak terdapat Lembaga Ekonomi_x000a_2: Waktu pelayanan tidak pasti_x000a_3: Beroperasi 1-3 hari seminggu_x000a_4: Beroperasi 4-5 hari seminggu_x000a_5: Beroperasi &gt;5 hari seminggu" sqref="F453" xr:uid="{00000000-0002-0000-0100-0000B5010000}">
      <formula1>IF(OR($F$451="tidak aktif",$F$451=""),satu,dualima)</formula1>
    </dataValidation>
    <dataValidation type="list" showInputMessage="1" showErrorMessage="1" promptTitle="Hari Operasional Bumdes/Bumdesma" prompt="1: Tidak terdapat Lembaga Ekonomi_x000a_2: Waktu pelayanan tidak pasti_x000a_3: Beroperasi 1-3 hari seminggu_x000a_4: Beroperasi 4-5 hari seminggu_x000a_5: Beroperasi &gt;5 hari seminggu" sqref="F457" xr:uid="{00000000-0002-0000-0100-0000B6010000}">
      <formula1>IF(OR($F$455="tidak aktif",$F$455=""),satu,dualima)</formula1>
    </dataValidation>
    <dataValidation allowBlank="1" showInputMessage="1" showErrorMessage="1" error="Terisi otomatis dari hasil Listrik EBT" promptTitle="Pemanfaatan Energi Terbarukan" prompt="1: Tidak Ada_x000a_5: Ada" sqref="F478" xr:uid="{00000000-0002-0000-0100-0000B7010000}"/>
    <dataValidation type="textLength" showInputMessage="1" showErrorMessage="1" error="Tidak Terdadapat Energi Baru Terbarukan (EBT) di Desa_x000a_diisi dengan tanda &quot; - &quot;" promptTitle="Pemanfaatan EBT di Desa" prompt="Jika Ada Pemanfaatan EBT, utk apa peruntukannya._x000a_jika tidak diisi &quot; - &quot;" sqref="F479" xr:uid="{00000000-0002-0000-0100-0000B8010000}">
      <formula1>1</formula1>
      <formula2>150</formula2>
    </dataValidation>
    <dataValidation type="whole" showInputMessage="1" showErrorMessage="1" promptTitle="Jlh Penduduk Usia &lt;3 Tahun" prompt="Diisi Dengan Angka" sqref="F126" xr:uid="{00000000-0002-0000-0100-0000B9010000}">
      <formula1>0</formula1>
      <formula2>IF(SUM($F$126:$F$132)&lt;=$F$118,$F$118,0)</formula2>
    </dataValidation>
    <dataValidation type="whole" showInputMessage="1" showErrorMessage="1" promptTitle="Jlh Penduduk Usia &gt;=19-59 Tahun" prompt="Diisi Dengan Angka" sqref="F131" xr:uid="{00000000-0002-0000-0100-0000BA010000}">
      <formula1>0</formula1>
      <formula2>IF(SUM($F$126:$F$132)&lt;=$F$118,$F$118,0)</formula2>
    </dataValidation>
    <dataValidation type="whole" showInputMessage="1" showErrorMessage="1" promptTitle="Jlh Penduduk Usia &gt;3-6 Tahun" prompt="Diisi Dengan Angka" sqref="F127" xr:uid="{00000000-0002-0000-0100-0000BB010000}">
      <formula1>0</formula1>
      <formula2>IF(SUM($F$126:$F$132)&lt;=$F$118,$F$118,0)</formula2>
    </dataValidation>
    <dataValidation type="whole" showInputMessage="1" showErrorMessage="1" promptTitle="Jlh Penduduk Usia &gt;=7-12 Tahun" prompt="Diisi Dengan Angka" sqref="F128" xr:uid="{00000000-0002-0000-0100-0000BC010000}">
      <formula1>0</formula1>
      <formula2>IF(SUM($F$126:$F$132)&lt;=$F$118,$F$118,0)</formula2>
    </dataValidation>
    <dataValidation type="whole" showInputMessage="1" showErrorMessage="1" promptTitle="Jlh Penduduk Usia &gt;=13-15 Tahun" prompt="Diisi Dengan Angka" sqref="F129" xr:uid="{00000000-0002-0000-0100-0000BD010000}">
      <formula1>0</formula1>
      <formula2>IF(SUM($F$126:$F$132)&lt;=$F$118,$F$118,0)</formula2>
    </dataValidation>
    <dataValidation type="whole" showInputMessage="1" showErrorMessage="1" promptTitle="Jlh Penduduk Usia &gt;=16-18 Tahun" prompt="Diisi Dengan Angka" sqref="F130" xr:uid="{00000000-0002-0000-0100-0000BE010000}">
      <formula1>0</formula1>
      <formula2>IF(SUM($F$126:$F$132)&lt;=$F$118,$F$118,0)</formula2>
    </dataValidation>
    <dataValidation type="textLength" showInputMessage="1" showErrorMessage="1" promptTitle="Kendala Akses PAUD" prompt="Jika Tidak Ada Kendala diisi tanda &quot; - &quot;" sqref="F177" xr:uid="{00000000-0002-0000-0100-0000BF010000}">
      <formula1>1</formula1>
      <formula2>150</formula2>
    </dataValidation>
    <dataValidation type="textLength" showInputMessage="1" showErrorMessage="1" promptTitle="Kendala Akses SD" prompt="Jika Tidak Ada Kendala diisi tanda &quot; - &quot;" sqref="F188" xr:uid="{00000000-0002-0000-0100-0000C0010000}">
      <formula1>1</formula1>
      <formula2>150</formula2>
    </dataValidation>
    <dataValidation type="textLength" showInputMessage="1" showErrorMessage="1" promptTitle="Kendala Akses SMP/Mts/Sederajat" prompt="jika tidak ada diisi &quot; - &quot;" sqref="F199" xr:uid="{00000000-0002-0000-0100-0000C1010000}">
      <formula1>1</formula1>
      <formula2>150</formula2>
    </dataValidation>
    <dataValidation type="textLength" showInputMessage="1" showErrorMessage="1" promptTitle="Kendala Akses SMA/SMK/MA/MAK" prompt="jika tidak ada diisi &quot; - &quot;" sqref="F210" xr:uid="{00000000-0002-0000-0100-0000C2010000}">
      <formula1>1</formula1>
      <formula2>150</formula2>
    </dataValidation>
    <dataValidation type="list" showInputMessage="1" showErrorMessage="1" promptTitle="Sumber Air Minum Ledeng Meteran" prompt="Ada_x000a_Tidak Ada" sqref="F308" xr:uid="{00000000-0002-0000-0100-0000C3010000}">
      <formula1>"Ada, Tidak ada"</formula1>
    </dataValidation>
    <dataValidation type="list" showInputMessage="1" showErrorMessage="1" promptTitle="Sumber Air Minum Sumur Bor/Pompa" prompt="Ada_x000a_Tidak Ada" sqref="F309" xr:uid="{00000000-0002-0000-0100-0000C4010000}">
      <formula1>"Ada, Tidak ada"</formula1>
    </dataValidation>
    <dataValidation type="list" showInputMessage="1" showErrorMessage="1" promptTitle="Sumber Air Minum dari Sumur" prompt="Ada_x000a_Tidak Ada" sqref="F310" xr:uid="{00000000-0002-0000-0100-0000C5010000}">
      <formula1>"Ada, Tidak ada"</formula1>
    </dataValidation>
    <dataValidation type="list" showInputMessage="1" showErrorMessage="1" promptTitle="Sumber Air Minum dari Mata Air" prompt="Ada_x000a_Tidak Ada" sqref="F311" xr:uid="{00000000-0002-0000-0100-0000C6010000}">
      <formula1>"Ada, Tidak ada"</formula1>
    </dataValidation>
    <dataValidation type="list" showInputMessage="1" showErrorMessage="1" promptTitle="Sumber Air Minum dari Air Hujan" prompt="Ada_x000a_Tidak Ada" sqref="F312" xr:uid="{00000000-0002-0000-0100-0000C7010000}">
      <formula1>"Ada, Tidak ada"</formula1>
    </dataValidation>
    <dataValidation type="textLength" showInputMessage="1" showErrorMessage="1" promptTitle="Kendala Akses Air Minum" prompt="Jika tidak ada diisi &quot; - &quot;" sqref="F317" xr:uid="{00000000-0002-0000-0100-0000C8010000}">
      <formula1>1</formula1>
      <formula2>50</formula2>
    </dataValidation>
    <dataValidation allowBlank="1" showInputMessage="1" showErrorMessage="1" promptTitle="Akses Sarana Menuju Pertokoan" prompt="1: Sangat Sulit_x000a_2: Sulit_x000a_3: Sedang_x000a_4: Mudah_x000a_5: Sangat Mudah" sqref="F430" xr:uid="{00000000-0002-0000-0100-0000C9010000}"/>
    <dataValidation allowBlank="1" showInputMessage="1" showErrorMessage="1" promptTitle="Akses Sarana Menuju Rumah Makan" prompt="1: Sangat Sulit_x000a_2: Sulit_x000a_3: Sedang_x000a_4: Mudah_x000a_5: Sangat Mudah" sqref="F436" xr:uid="{00000000-0002-0000-0100-0000CA010000}"/>
    <dataValidation allowBlank="1" showInputMessage="1" showErrorMessage="1" promptTitle="Akses Sarana Menuju Penginapan" prompt="1: Sangat Sulit_x000a_2: Sulit_x000a_3: Sedang_x000a_4: Mudah_x000a_5: Sangat Mudah" sqref="F442" xr:uid="{00000000-0002-0000-0100-0000CB010000}"/>
    <dataValidation type="textLength" showInputMessage="1" showErrorMessage="1" error="Tidak Terdapat Bumdesa" promptTitle="Nomor Sertifikat Bumdes" prompt="Jika Tidak Ada diisi &quot; - &quot;" sqref="F452" xr:uid="{00000000-0002-0000-0100-0000CC010000}">
      <formula1>1</formula1>
      <formula2>IF(OR(F450=2,F450=""),1,50)</formula2>
    </dataValidation>
    <dataValidation type="textLength" showInputMessage="1" showErrorMessage="1" promptTitle="Atraksi Alam/SDA/Keindahan Alam" prompt="Sebutkan,_x000a_Jika tidak ada diisi &quot; - &quot;" sqref="F473" xr:uid="{00000000-0002-0000-0100-0000CD010000}">
      <formula1>1</formula1>
      <formula2>30</formula2>
    </dataValidation>
    <dataValidation type="textLength" showInputMessage="1" showErrorMessage="1" error="Pembuangan sampah lainnya._x000a_jika tidak ada diisi &quot; - &quot;" promptTitle="Tempat Pembuangan sampah Lainnya" prompt="Sebutkan Jenis Pembuangan Lainnya di desa_x000a_jika tidak ada diisi &quot; - &quot;" sqref="F483" xr:uid="{00000000-0002-0000-0100-0000CE010000}">
      <formula1>IF(F482=4,4,1)</formula1>
      <formula2>50</formula2>
    </dataValidation>
    <dataValidation type="whole" showInputMessage="1" showErrorMessage="1" error="Total Rumah Berlistrik (Kuesioner ID) dan Rumah Belum Berlistrik (Kuesioner Isu Desa &amp; Perdesaan) lebih dari Jumlah Rumah Di Desa" promptTitle="Jlh Rumah Akses Listrik dari PLN" prompt="Jlh Rumah Terakses Listrik PLN _x000a_(F 203 a) + Non PLN (F 203 b) + _x000a_Tidak Terfasilitasi Listrik _x000a_(156 b Template) = Total Rumah _x000a_di Desa (A 118)_x000a__x000a_(F 203 a)+(F 203 b)+(156 b)=(A 118)" sqref="F553" xr:uid="{00000000-0002-0000-0100-0000CF010000}">
      <formula1>0</formula1>
      <formula2>IF(SUM(F553:F554)&lt;=F124,(110%*F124),0)</formula2>
    </dataValidation>
    <dataValidation type="whole" showInputMessage="1" showErrorMessage="1" error="Total Rumah Berlistrik (Kuesioner ID) dan Rumah Belum Berlistrik (Kuesioner Isu Desa &amp; Perdesaan) lebih dari Jumlah Rumah Di Desa" promptTitle="Jlh Rumah Akses Listrik Non- PLN" prompt="Jlh Rumah Terakses Listrik PLN _x000a_(F 203 a) + Non PLN (F 203 b) + _x000a_Tidak Terfasilitasi Listrik _x000a_(156 b Template) = Total Rumah _x000a_di Desa (A 118)_x000a__x000a_(F 203 a)+(F 203 b)+(156 b)=(A 118)" sqref="F554" xr:uid="{00000000-0002-0000-0100-0000D0010000}">
      <formula1>0</formula1>
      <formula2>IF(SUM(F553:F554)&lt;=F124,(110%*F124),0)</formula2>
    </dataValidation>
    <dataValidation allowBlank="1" showInputMessage="1" showErrorMessage="1" promptTitle="Total Pencemaran Lingkungan" prompt="by sistem" sqref="F492" xr:uid="{00000000-0002-0000-0100-0000D1010000}"/>
    <dataValidation type="list" showInputMessage="1" showErrorMessage="1" promptTitle="Kejadian Bencana Tanah Longsor" prompt="Ada_x000a_Tidak Ada" sqref="F506" xr:uid="{00000000-0002-0000-0100-0000D2010000}">
      <formula1>"Ada, Tidak Ada"</formula1>
    </dataValidation>
    <dataValidation type="list" showInputMessage="1" showErrorMessage="1" promptTitle="Kejadian Bencana Banjir" prompt="Ada_x000a_Tidak Ada" sqref="F507" xr:uid="{00000000-0002-0000-0100-0000D3010000}">
      <formula1>"Ada, Tidak Ada"</formula1>
    </dataValidation>
    <dataValidation type="list" showInputMessage="1" showErrorMessage="1" promptTitle="Kejadian Bencana Gempa Bumi" prompt="Ada_x000a_Tidak Ada" sqref="F508" xr:uid="{00000000-0002-0000-0100-0000D4010000}">
      <formula1>"Ada, Tidak Ada"</formula1>
    </dataValidation>
    <dataValidation type="list" showInputMessage="1" showErrorMessage="1" promptTitle="Kejadian Bencana Tsunami" prompt="Ada_x000a_Tidak Ada" sqref="F509" xr:uid="{00000000-0002-0000-0100-0000D5010000}">
      <formula1>"Ada, Tidak Ada"</formula1>
    </dataValidation>
    <dataValidation type="list" showInputMessage="1" showErrorMessage="1" promptTitle="Kejadian Bencana Gel Pasang Laut" prompt="Ada_x000a_Tidak Ada" sqref="F510" xr:uid="{00000000-0002-0000-0100-0000D6010000}">
      <formula1>"Ada, Tidak Ada"</formula1>
    </dataValidation>
    <dataValidation type="list" showInputMessage="1" showErrorMessage="1" promptTitle="Kejadian Bencana Angin Puyuh/" prompt="Ada_x000a_Tidak Ada" sqref="F511" xr:uid="{00000000-0002-0000-0100-0000D7010000}">
      <formula1>"Ada, Tidak Ada"</formula1>
    </dataValidation>
    <dataValidation type="list" showInputMessage="1" showErrorMessage="1" promptTitle="Kejadian Bencana Gunung Meletus" prompt="Ada_x000a_Tidak Ada" sqref="F512" xr:uid="{00000000-0002-0000-0100-0000D8010000}">
      <formula1>"Ada, Tidak Ada"</formula1>
    </dataValidation>
    <dataValidation type="list" showInputMessage="1" showErrorMessage="1" promptTitle="Kejadian Bencana Kebakaran Hutan" prompt="Ada_x000a_Tidak Ada" sqref="F513" xr:uid="{00000000-0002-0000-0100-0000D9010000}">
      <formula1>"Ada, Tidak Ada"</formula1>
    </dataValidation>
    <dataValidation type="list" showInputMessage="1" showErrorMessage="1" promptTitle="K'jadian Bencana Kekeringan Laha" prompt="Ada_x000a_Tidak Ada" sqref="F514" xr:uid="{00000000-0002-0000-0100-0000DA010000}">
      <formula1>"Ada, Tidak Ada"</formula1>
    </dataValidation>
    <dataValidation allowBlank="1" showInputMessage="1" showErrorMessage="1" promptTitle="Jlh Rumah terakses Listrik" prompt="By Sistem" sqref="F566" xr:uid="{00000000-0002-0000-0100-0000DB010000}"/>
    <dataValidation allowBlank="1" showInputMessage="1" showErrorMessage="1" promptTitle="Total Besaran PADes 2024" prompt=" " sqref="F142" xr:uid="{00000000-0002-0000-0100-0000DC010000}"/>
    <dataValidation type="list" showInputMessage="1" showErrorMessage="1" promptTitle="Bencana Luar Biasa" prompt="Ada_x000a_Tidak Ada" sqref="F515" xr:uid="{00000000-0002-0000-0100-0000DD010000}">
      <formula1>"Ada, Tidak Ada"</formula1>
    </dataValidation>
    <dataValidation type="textLength" showInputMessage="1" showErrorMessage="1" error="Tidak Terdapat Posyandu diisi &quot; - &quot;" promptTitle="Bentuk Aktiitas Posyandu" prompt="(Sebutkan)_x000a_Jika Tidak Ada diisi &quot; - &quot;" sqref="F242" xr:uid="{00000000-0002-0000-0100-0000DE010000}">
      <formula1>1</formula1>
      <formula2>IF(OR(F241=1,F241=""),1,50)</formula2>
    </dataValidation>
    <dataValidation type="list" operator="greaterThanOrEqual" showInputMessage="1" showErrorMessage="1" promptTitle="Info APBDes (Banner)" prompt="Ada_x000a_Tidak Ada" sqref="F162" xr:uid="{00000000-0002-0000-0100-0000DF010000}">
      <formula1>"Ada, Tidak Ada"</formula1>
    </dataValidation>
    <dataValidation type="list" operator="greaterThanOrEqual" showInputMessage="1" showErrorMessage="1" promptTitle="Info APBDes Media Sosial" prompt="Ada_x000a_Tidak Ada" sqref="F163" xr:uid="{00000000-0002-0000-0100-0000E0010000}">
      <formula1>"Ada, Tidak Ada"</formula1>
    </dataValidation>
    <dataValidation type="list" showInputMessage="1" showErrorMessage="1" promptTitle="Transportasi SMP/MTs/Sederajat" prompt="1: Ada_x000a_2: Tidak Ada" sqref="F197" xr:uid="{00000000-0002-0000-0100-0000E1010000}">
      <formula1>"1,2"</formula1>
    </dataValidation>
    <dataValidation allowBlank="1" showInputMessage="1" showErrorMessage="1" error="(Jlh Rumah Belum Teraliri Listrik (Template) - Jlh Rumah di Desa)/ Jlh Rumah di Desa" sqref="E567" xr:uid="{00000000-0002-0000-0100-0000E2010000}"/>
    <dataValidation type="whole" showInputMessage="1" showErrorMessage="1" sqref="E165:G165 I165:L165" xr:uid="{00000000-0002-0000-0100-0000E3010000}">
      <formula1>0</formula1>
      <formula2>10%*E119</formula2>
    </dataValidation>
    <dataValidation type="list" operator="lessThanOrEqual" showInputMessage="1" showErrorMessage="1" promptTitle="Jlh Pemilik Toko/Warung di Desa" prompt="(Unit)" sqref="F439" xr:uid="{00000000-0002-0000-0100-0000E4010000}">
      <formula1>IF(OR(#REF!=0,#REF!=""),nol,pedagang)</formula1>
    </dataValidation>
    <dataValidation type="whole" showInputMessage="1" showErrorMessage="1" promptTitle="Jlh Kedai/ Rumah Makan di Desa" prompt="(Unit)" sqref="F433" xr:uid="{00000000-0002-0000-0100-0000E5010000}">
      <formula1>0</formula1>
      <formula2>IF(OR(#REF!=1,#REF!=""),0,150)</formula2>
    </dataValidation>
    <dataValidation type="list" showInputMessage="1" showErrorMessage="1" promptTitle="Sumber Listrik Non-PLN" prompt="1: Tidak Ada_x000a_3: Ada sebagian kecil (&lt;= 50% terakses)_x000a_5: Ada sebagian besar (&gt; 50 % terakses)" sqref="F567" xr:uid="{00000000-0002-0000-0100-0000E6010000}">
      <formula1>IF(#REF!=0,tidakada,nonpln)</formula1>
    </dataValidation>
    <dataValidation type="list" showInputMessage="1" showErrorMessage="1" promptTitle="Durasi Layanan Listrik di desa" prompt="1: Tidak tersedia_x000a_2: Tersedia &lt; 6 jam_x000a_4: Tersedia 6-12 jam_x000a_5: Tersedia &gt;12 " sqref="F568" xr:uid="{00000000-0002-0000-0100-0000E7010000}">
      <formula1>IF(#REF!=0,tidakada,nonpln)</formula1>
    </dataValidation>
  </dataValidations>
  <pageMargins left="0.51181102362204722" right="0.31496062992125984" top="0.74803149606299213" bottom="0.74803149606299213" header="0.31496062992125984" footer="0.31496062992125984"/>
  <pageSetup paperSize="9" scale="32" fitToHeight="0" orientation="portrait" r:id="rId1"/>
  <ignoredErrors>
    <ignoredError sqref="F647" unlockedFormula="1"/>
  </ignoredErrors>
  <drawing r:id="rId2"/>
  <extLst>
    <ext xmlns:x14="http://schemas.microsoft.com/office/spreadsheetml/2009/9/main" uri="{78C0D931-6437-407d-A8EE-F0AAD7539E65}">
      <x14:conditionalFormattings>
        <x14:conditionalFormatting xmlns:xm="http://schemas.microsoft.com/office/excel/2006/main">
          <x14:cfRule type="dataBar" id="{BE1B35DE-BDAF-4CA9-A0DA-603D888766F6}">
            <x14:dataBar minLength="0" maxLength="100" gradient="0">
              <x14:cfvo type="autoMin"/>
              <x14:cfvo type="autoMax"/>
              <x14:negativeFillColor rgb="FFFF0000"/>
              <x14:axisColor rgb="FF000000"/>
            </x14:dataBar>
          </x14:cfRule>
          <xm:sqref>A2 J4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8" tint="0.79998168889431442"/>
  </sheetPr>
  <dimension ref="A1:V1535"/>
  <sheetViews>
    <sheetView topLeftCell="B1" zoomScale="84" zoomScaleNormal="84" workbookViewId="0">
      <pane ySplit="4" topLeftCell="A1215" activePane="bottomLeft" state="frozen"/>
      <selection pane="bottomLeft" activeCell="F1217" sqref="F1217"/>
    </sheetView>
  </sheetViews>
  <sheetFormatPr defaultRowHeight="15" x14ac:dyDescent="0.25"/>
  <cols>
    <col min="1" max="2" width="7.7109375" customWidth="1"/>
    <col min="3" max="3" width="95.7109375" customWidth="1"/>
    <col min="4" max="4" width="7.5703125" customWidth="1"/>
    <col min="5" max="5" width="15.85546875" customWidth="1"/>
    <col min="6" max="6" width="58.7109375" customWidth="1"/>
    <col min="7" max="9" width="17" style="963" hidden="1" customWidth="1"/>
    <col min="10" max="10" width="20.5703125" customWidth="1"/>
    <col min="11" max="11" width="68.28515625" customWidth="1"/>
    <col min="12" max="22" width="0" hidden="1" customWidth="1"/>
  </cols>
  <sheetData>
    <row r="1" spans="1:22" ht="45.75" customHeight="1" thickBot="1" x14ac:dyDescent="0.5">
      <c r="A1" s="998" t="s">
        <v>2734</v>
      </c>
      <c r="B1" s="999"/>
      <c r="C1" s="999"/>
      <c r="D1" s="999"/>
      <c r="E1" s="999"/>
      <c r="F1" s="1000"/>
      <c r="G1" s="913"/>
      <c r="H1" s="914"/>
      <c r="I1" s="915"/>
      <c r="J1" s="41">
        <f>SUM(COUNTIF(J6:J1535,{"Belum Terisi","CEK"}))</f>
        <v>29</v>
      </c>
      <c r="K1" s="31"/>
      <c r="L1" s="31"/>
      <c r="M1" s="996" t="s">
        <v>666</v>
      </c>
      <c r="N1" s="996"/>
      <c r="O1" s="996"/>
      <c r="P1" s="996"/>
      <c r="Q1" s="996"/>
      <c r="R1" s="996"/>
      <c r="S1" s="996"/>
      <c r="T1" s="996"/>
      <c r="U1" s="996"/>
      <c r="V1" s="996"/>
    </row>
    <row r="2" spans="1:22" ht="21" customHeight="1" thickBot="1" x14ac:dyDescent="0.3">
      <c r="A2" s="1001">
        <f>(COUNTA(D6:D1535)-J1)/(COUNTA(D6:D1535))</f>
        <v>0.97947629157820237</v>
      </c>
      <c r="B2" s="1002"/>
      <c r="C2" s="1003"/>
      <c r="D2" s="1002"/>
      <c r="E2" s="1002"/>
      <c r="F2" s="1004"/>
      <c r="G2" s="916"/>
      <c r="H2" s="916"/>
      <c r="I2" s="916"/>
      <c r="J2" s="46" t="str">
        <f>IF(J1&gt;0,"BELUM SELESAI","UNGGAH FILE")</f>
        <v>BELUM SELESAI</v>
      </c>
      <c r="K2" s="31"/>
      <c r="L2" s="43"/>
      <c r="M2" s="38"/>
      <c r="N2" s="38"/>
      <c r="O2" s="38"/>
      <c r="P2" s="38"/>
      <c r="Q2" s="38"/>
      <c r="R2" s="38"/>
      <c r="S2" s="38"/>
      <c r="T2" s="38"/>
      <c r="U2" s="38"/>
      <c r="V2" s="38"/>
    </row>
    <row r="3" spans="1:22" ht="30" customHeight="1" x14ac:dyDescent="0.25">
      <c r="A3" s="997" t="s">
        <v>2735</v>
      </c>
      <c r="B3" s="997"/>
      <c r="C3" s="997"/>
      <c r="D3" s="997"/>
      <c r="E3" s="32" t="s">
        <v>173</v>
      </c>
      <c r="F3" s="33" t="s">
        <v>16</v>
      </c>
      <c r="G3" s="917" t="s">
        <v>239</v>
      </c>
      <c r="H3" s="918" t="s">
        <v>558</v>
      </c>
      <c r="I3" s="918" t="s">
        <v>559</v>
      </c>
      <c r="J3" s="47" t="str">
        <f>IF(J1=0,"SELESAI","CEK")</f>
        <v>CEK</v>
      </c>
      <c r="K3" s="681" t="s">
        <v>945</v>
      </c>
      <c r="L3" s="34" t="s">
        <v>2466</v>
      </c>
      <c r="M3" s="17" t="s">
        <v>667</v>
      </c>
      <c r="N3" s="34" t="s">
        <v>668</v>
      </c>
      <c r="O3" s="34" t="s">
        <v>669</v>
      </c>
      <c r="P3" s="34" t="s">
        <v>670</v>
      </c>
      <c r="Q3" s="34" t="s">
        <v>671</v>
      </c>
      <c r="R3" s="34" t="s">
        <v>776</v>
      </c>
      <c r="S3" s="34" t="s">
        <v>944</v>
      </c>
      <c r="T3" s="34" t="s">
        <v>640</v>
      </c>
      <c r="U3" s="34" t="s">
        <v>2639</v>
      </c>
      <c r="V3" s="34" t="s">
        <v>636</v>
      </c>
    </row>
    <row r="4" spans="1:22" ht="13.15" hidden="1" customHeight="1" x14ac:dyDescent="0.25">
      <c r="A4" s="897"/>
      <c r="B4" s="898"/>
      <c r="C4" s="898"/>
      <c r="D4" s="897"/>
      <c r="E4" s="899"/>
      <c r="F4" s="37"/>
      <c r="G4" s="913"/>
      <c r="H4" s="950"/>
      <c r="I4" s="950"/>
      <c r="J4" s="40">
        <v>1</v>
      </c>
      <c r="K4" s="900"/>
      <c r="L4" s="34"/>
      <c r="M4" s="17"/>
      <c r="N4" s="34"/>
      <c r="O4" s="34"/>
      <c r="P4" s="34"/>
      <c r="Q4" s="34"/>
      <c r="R4" s="34"/>
      <c r="S4" s="34"/>
      <c r="T4" s="34"/>
      <c r="U4" s="34"/>
      <c r="V4" s="34"/>
    </row>
    <row r="5" spans="1:22" s="13" customFormat="1" ht="30" customHeight="1" x14ac:dyDescent="0.25">
      <c r="A5" s="643" t="s">
        <v>236</v>
      </c>
      <c r="B5" s="216"/>
      <c r="C5" s="216"/>
      <c r="D5" s="454"/>
      <c r="E5" s="488"/>
      <c r="F5" s="714"/>
      <c r="G5" s="924"/>
      <c r="H5" s="951"/>
      <c r="I5" s="952"/>
      <c r="J5" s="206"/>
      <c r="K5" s="31"/>
      <c r="L5" s="43"/>
      <c r="M5" s="850"/>
      <c r="N5" s="850"/>
      <c r="O5" s="850"/>
      <c r="P5" s="850"/>
      <c r="Q5" s="850"/>
      <c r="R5" s="850"/>
      <c r="S5" s="850"/>
      <c r="T5" s="850"/>
      <c r="U5" s="850"/>
      <c r="V5" s="850"/>
    </row>
    <row r="6" spans="1:22" s="12" customFormat="1" ht="30" customHeight="1" x14ac:dyDescent="0.25">
      <c r="A6" s="540">
        <v>1</v>
      </c>
      <c r="B6" s="339" t="s">
        <v>41</v>
      </c>
      <c r="C6" s="340" t="s">
        <v>961</v>
      </c>
      <c r="D6" s="100">
        <v>467</v>
      </c>
      <c r="E6" s="462" t="s">
        <v>171</v>
      </c>
      <c r="F6" s="752" t="s">
        <v>285</v>
      </c>
      <c r="G6" s="924"/>
      <c r="H6" s="953"/>
      <c r="I6" s="952"/>
      <c r="J6" s="198" t="str">
        <f>IF(F6="","Belum Terisi","")</f>
        <v/>
      </c>
      <c r="K6" s="42"/>
      <c r="L6" s="42"/>
      <c r="M6" s="851"/>
      <c r="N6" s="851"/>
      <c r="O6" s="851"/>
      <c r="P6" s="851"/>
      <c r="Q6" s="851"/>
      <c r="R6" s="851"/>
      <c r="S6" s="851"/>
      <c r="T6" s="851"/>
      <c r="U6" s="851"/>
      <c r="V6" s="851"/>
    </row>
    <row r="7" spans="1:22" s="20" customFormat="1" ht="30" customHeight="1" x14ac:dyDescent="0.25">
      <c r="A7" s="542"/>
      <c r="B7" s="339" t="s">
        <v>139</v>
      </c>
      <c r="C7" s="341" t="s">
        <v>972</v>
      </c>
      <c r="D7" s="500">
        <f t="shared" ref="D7:D70" si="0">D6+1</f>
        <v>468</v>
      </c>
      <c r="E7" s="501" t="s">
        <v>174</v>
      </c>
      <c r="F7" s="753" t="s">
        <v>2786</v>
      </c>
      <c r="G7" s="924"/>
      <c r="H7" s="922"/>
      <c r="I7" s="952"/>
      <c r="J7" s="198" t="str">
        <f>IF(F7="","Belum Terisi",IF(AND($F$6="ada",F7="-"),"CEK",IF(AND($F$6="tidak ada",F7&lt;&gt;"-"),"CEK","")))</f>
        <v/>
      </c>
      <c r="K7" s="42" t="str">
        <f>IF(J7="CEK",$F$6&amp;" Sekretaris Desa","")</f>
        <v/>
      </c>
      <c r="L7" s="42"/>
      <c r="M7" s="852"/>
      <c r="N7" s="852"/>
      <c r="O7" s="852"/>
      <c r="P7" s="852"/>
      <c r="Q7" s="852"/>
      <c r="R7" s="852"/>
      <c r="S7" s="852"/>
      <c r="T7" s="852"/>
      <c r="U7" s="852"/>
      <c r="V7" s="852"/>
    </row>
    <row r="8" spans="1:22" s="20" customFormat="1" ht="30" customHeight="1" x14ac:dyDescent="0.25">
      <c r="A8" s="542"/>
      <c r="B8" s="339" t="s">
        <v>251</v>
      </c>
      <c r="C8" s="341" t="s">
        <v>981</v>
      </c>
      <c r="D8" s="500">
        <f t="shared" si="0"/>
        <v>469</v>
      </c>
      <c r="E8" s="501" t="s">
        <v>174</v>
      </c>
      <c r="F8" s="754">
        <v>81392499709</v>
      </c>
      <c r="G8" s="924"/>
      <c r="H8" s="922"/>
      <c r="I8" s="952"/>
      <c r="J8" s="198" t="str">
        <f>IF(F8="","Belum Terisi",IF(AND($F$6="ada",F8=0),"CEK",IF(AND($F$6="tidak ada",F8&lt;&gt;0),"CEK","")))</f>
        <v/>
      </c>
      <c r="K8" s="42" t="str">
        <f>IF(J8="CEK",$F$6&amp;" Sekretaris Desa","")</f>
        <v/>
      </c>
      <c r="L8" s="42"/>
      <c r="M8" s="852"/>
      <c r="N8" s="852"/>
      <c r="O8" s="852"/>
      <c r="P8" s="852"/>
      <c r="Q8" s="852"/>
      <c r="R8" s="852"/>
      <c r="S8" s="852"/>
      <c r="T8" s="852"/>
      <c r="U8" s="852"/>
      <c r="V8" s="852"/>
    </row>
    <row r="9" spans="1:22" s="12" customFormat="1" ht="30" customHeight="1" x14ac:dyDescent="0.25">
      <c r="A9" s="542"/>
      <c r="B9" s="339" t="s">
        <v>255</v>
      </c>
      <c r="C9" s="340" t="s">
        <v>984</v>
      </c>
      <c r="D9" s="500">
        <f t="shared" si="0"/>
        <v>470</v>
      </c>
      <c r="E9" s="462" t="s">
        <v>171</v>
      </c>
      <c r="F9" s="755" t="s">
        <v>723</v>
      </c>
      <c r="G9" s="924"/>
      <c r="H9" s="922" t="s">
        <v>896</v>
      </c>
      <c r="I9" s="952"/>
      <c r="J9" s="198" t="str">
        <f>IF(F9="","Belum Terisi",IF(AND($F$6="ada",F9="-"),"CEK",IF(AND($F$6="tidak ada",F9&lt;&gt;"-"),"CEK","")))</f>
        <v/>
      </c>
      <c r="K9" s="42" t="str">
        <f>IF(J9="CEK",$F$6&amp;" Sekretaris Desa","")</f>
        <v/>
      </c>
      <c r="L9" s="42"/>
      <c r="M9" s="851"/>
      <c r="N9" s="851"/>
      <c r="O9" s="851"/>
      <c r="P9" s="851"/>
      <c r="Q9" s="851"/>
      <c r="R9" s="851"/>
      <c r="S9" s="851"/>
      <c r="T9" s="851"/>
      <c r="U9" s="851"/>
      <c r="V9" s="851"/>
    </row>
    <row r="10" spans="1:22" ht="30" customHeight="1" x14ac:dyDescent="0.25">
      <c r="A10" s="542"/>
      <c r="B10" s="339" t="s">
        <v>252</v>
      </c>
      <c r="C10" s="342" t="s">
        <v>31</v>
      </c>
      <c r="D10" s="500">
        <f t="shared" si="0"/>
        <v>471</v>
      </c>
      <c r="E10" s="462" t="s">
        <v>171</v>
      </c>
      <c r="F10" s="755">
        <v>3</v>
      </c>
      <c r="G10" s="924"/>
      <c r="H10" s="922" t="s">
        <v>897</v>
      </c>
      <c r="I10" s="923"/>
      <c r="J10" s="198" t="str">
        <f>IF(F10="","Belum Terisi",IF(AND($F$6="ada",F10="-"),"CEK",IF(AND($F$6="tidak ada",F10&lt;&gt;"-"),"CEK","")))</f>
        <v/>
      </c>
      <c r="K10" s="42" t="str">
        <f>IF(J10="CEK",$F$6&amp;" Sekretaris Desa","")</f>
        <v/>
      </c>
      <c r="L10" s="42"/>
      <c r="M10" s="21"/>
      <c r="N10" s="21"/>
      <c r="O10" s="21"/>
      <c r="P10" s="21"/>
      <c r="Q10" s="21"/>
      <c r="R10" s="21"/>
      <c r="S10" s="21"/>
      <c r="T10" s="21"/>
      <c r="U10" s="21"/>
      <c r="V10" s="21"/>
    </row>
    <row r="11" spans="1:22" ht="30" customHeight="1" x14ac:dyDescent="0.25">
      <c r="A11" s="541"/>
      <c r="B11" s="339" t="s">
        <v>253</v>
      </c>
      <c r="C11" s="342" t="s">
        <v>32</v>
      </c>
      <c r="D11" s="500">
        <f t="shared" si="0"/>
        <v>472</v>
      </c>
      <c r="E11" s="462" t="s">
        <v>30</v>
      </c>
      <c r="F11" s="756" t="s">
        <v>2787</v>
      </c>
      <c r="G11" s="924"/>
      <c r="H11" s="922" t="s">
        <v>898</v>
      </c>
      <c r="I11" s="923"/>
      <c r="J11" s="198" t="str">
        <f>IF(F11="","Belum Terisi",IF(AND($F$6="ada",F11="-"),"CEK",IF(AND($F$6="tidak ada",F11&lt;&gt;"-"),"CEK","")))</f>
        <v/>
      </c>
      <c r="K11" s="42" t="str">
        <f>IF(J11="CEK",$F$6&amp;" Sekretaris Desa","")</f>
        <v/>
      </c>
      <c r="L11" s="42"/>
      <c r="M11" s="21"/>
      <c r="N11" s="21"/>
      <c r="O11" s="21"/>
      <c r="P11" s="21"/>
      <c r="Q11" s="21"/>
      <c r="R11" s="21"/>
      <c r="S11" s="21"/>
      <c r="T11" s="21"/>
      <c r="U11" s="21"/>
      <c r="V11" s="21"/>
    </row>
    <row r="12" spans="1:22" s="12" customFormat="1" ht="30" customHeight="1" x14ac:dyDescent="0.25">
      <c r="A12" s="643" t="s">
        <v>176</v>
      </c>
      <c r="B12" s="343"/>
      <c r="C12" s="343"/>
      <c r="D12" s="502"/>
      <c r="E12" s="429"/>
      <c r="F12" s="714"/>
      <c r="G12" s="953"/>
      <c r="H12" s="953"/>
      <c r="I12" s="953"/>
      <c r="J12" s="207"/>
      <c r="K12" s="31"/>
      <c r="L12" s="43"/>
      <c r="M12" s="851"/>
      <c r="N12" s="851"/>
      <c r="O12" s="851"/>
      <c r="P12" s="851"/>
      <c r="Q12" s="851"/>
      <c r="R12" s="851"/>
      <c r="S12" s="851"/>
      <c r="T12" s="851"/>
      <c r="U12" s="851"/>
      <c r="V12" s="851"/>
    </row>
    <row r="13" spans="1:22" s="12" customFormat="1" ht="30" customHeight="1" x14ac:dyDescent="0.25">
      <c r="A13" s="540">
        <f>A6+1</f>
        <v>2</v>
      </c>
      <c r="B13" s="339" t="s">
        <v>41</v>
      </c>
      <c r="C13" s="340" t="s">
        <v>962</v>
      </c>
      <c r="D13" s="100">
        <f>D11+1</f>
        <v>473</v>
      </c>
      <c r="E13" s="427" t="s">
        <v>171</v>
      </c>
      <c r="F13" s="757" t="s">
        <v>285</v>
      </c>
      <c r="G13" s="953"/>
      <c r="H13" s="953"/>
      <c r="I13" s="953"/>
      <c r="J13" s="198" t="str">
        <f>IF(F13="","Belum Terisi","")</f>
        <v/>
      </c>
      <c r="K13" s="31"/>
      <c r="L13" s="43"/>
      <c r="M13" s="851"/>
      <c r="N13" s="851"/>
      <c r="O13" s="851"/>
      <c r="P13" s="851"/>
      <c r="Q13" s="851"/>
      <c r="R13" s="851"/>
      <c r="S13" s="851"/>
      <c r="T13" s="851"/>
      <c r="U13" s="851"/>
      <c r="V13" s="851"/>
    </row>
    <row r="14" spans="1:22" s="20" customFormat="1" ht="30" customHeight="1" x14ac:dyDescent="0.25">
      <c r="A14" s="542"/>
      <c r="B14" s="339" t="s">
        <v>139</v>
      </c>
      <c r="C14" s="341" t="s">
        <v>973</v>
      </c>
      <c r="D14" s="500">
        <f t="shared" si="0"/>
        <v>474</v>
      </c>
      <c r="E14" s="455" t="s">
        <v>174</v>
      </c>
      <c r="F14" s="758" t="s">
        <v>2788</v>
      </c>
      <c r="G14" s="953"/>
      <c r="H14" s="953"/>
      <c r="I14" s="953"/>
      <c r="J14" s="198" t="str">
        <f>IF(F14="","Belum Terisi",IF(AND($F$13="ada",F14="-"),"CEK",IF(AND($F$13="tidak ada",F14&lt;&gt;"-"),"CEK","")))</f>
        <v/>
      </c>
      <c r="K14" s="42" t="str">
        <f>IF(J14="CEK",$F$13&amp;" Kepala Seksi Pemerintahan","")</f>
        <v/>
      </c>
      <c r="L14" s="42"/>
      <c r="M14" s="852"/>
      <c r="N14" s="852"/>
      <c r="O14" s="852"/>
      <c r="P14" s="852"/>
      <c r="Q14" s="852"/>
      <c r="R14" s="852"/>
      <c r="S14" s="852"/>
      <c r="T14" s="852"/>
      <c r="U14" s="852"/>
      <c r="V14" s="852"/>
    </row>
    <row r="15" spans="1:22" s="12" customFormat="1" ht="30" customHeight="1" x14ac:dyDescent="0.25">
      <c r="A15" s="541"/>
      <c r="B15" s="339" t="s">
        <v>251</v>
      </c>
      <c r="C15" s="340" t="s">
        <v>984</v>
      </c>
      <c r="D15" s="500">
        <f t="shared" si="0"/>
        <v>475</v>
      </c>
      <c r="E15" s="427" t="s">
        <v>171</v>
      </c>
      <c r="F15" s="759" t="s">
        <v>723</v>
      </c>
      <c r="G15" s="953"/>
      <c r="H15" s="953"/>
      <c r="I15" s="953"/>
      <c r="J15" s="198" t="str">
        <f>IF(F15="","Belum Terisi",IF(AND($F$13="ada",F15="-"),"CEK",IF(AND($F$13="tidak ada",F15&lt;&gt;"-"),"CEK","")))</f>
        <v/>
      </c>
      <c r="K15" s="42" t="str">
        <f>IF(J15="CEK",$F$13&amp;" Kepala Seksi Pemerintahan","")</f>
        <v/>
      </c>
      <c r="L15" s="42"/>
      <c r="M15" s="851"/>
      <c r="N15" s="851"/>
      <c r="O15" s="851"/>
      <c r="P15" s="851"/>
      <c r="Q15" s="851"/>
      <c r="R15" s="851"/>
      <c r="S15" s="851"/>
      <c r="T15" s="851"/>
      <c r="U15" s="851"/>
      <c r="V15" s="851"/>
    </row>
    <row r="16" spans="1:22" s="12" customFormat="1" ht="30" customHeight="1" x14ac:dyDescent="0.25">
      <c r="A16" s="540">
        <f>A13+1</f>
        <v>3</v>
      </c>
      <c r="B16" s="339" t="s">
        <v>41</v>
      </c>
      <c r="C16" s="340" t="s">
        <v>963</v>
      </c>
      <c r="D16" s="500">
        <f t="shared" si="0"/>
        <v>476</v>
      </c>
      <c r="E16" s="427" t="s">
        <v>171</v>
      </c>
      <c r="F16" s="757" t="s">
        <v>285</v>
      </c>
      <c r="G16" s="953"/>
      <c r="H16" s="953"/>
      <c r="I16" s="953"/>
      <c r="J16" s="198" t="str">
        <f>IF(LEN(F16)&gt;0,"","Belum Terisi")</f>
        <v/>
      </c>
      <c r="K16" s="31"/>
      <c r="L16" s="43"/>
      <c r="M16" s="851"/>
      <c r="N16" s="851"/>
      <c r="O16" s="851"/>
      <c r="P16" s="851"/>
      <c r="Q16" s="851"/>
      <c r="R16" s="851"/>
      <c r="S16" s="851"/>
      <c r="T16" s="851"/>
      <c r="U16" s="851"/>
      <c r="V16" s="851"/>
    </row>
    <row r="17" spans="1:22" s="20" customFormat="1" ht="30" customHeight="1" x14ac:dyDescent="0.25">
      <c r="A17" s="542"/>
      <c r="B17" s="339" t="s">
        <v>139</v>
      </c>
      <c r="C17" s="341" t="s">
        <v>974</v>
      </c>
      <c r="D17" s="500">
        <f t="shared" si="0"/>
        <v>477</v>
      </c>
      <c r="E17" s="455" t="s">
        <v>174</v>
      </c>
      <c r="F17" s="758" t="s">
        <v>2789</v>
      </c>
      <c r="G17" s="953"/>
      <c r="H17" s="953"/>
      <c r="I17" s="953"/>
      <c r="J17" s="198" t="str">
        <f>IF(F17="","Belum Terisi",IF(AND($F$16="ada",F17="-"),"CEK",IF(AND($F$16="tidak ada",F17&lt;&gt;"-"),"CEK","")))</f>
        <v/>
      </c>
      <c r="K17" s="42" t="str">
        <f>IF(J17="CEK",$F$16&amp;" Kepala Seksi Kesejahteraan","")</f>
        <v/>
      </c>
      <c r="L17" s="42"/>
      <c r="M17" s="852"/>
      <c r="N17" s="852"/>
      <c r="O17" s="852"/>
      <c r="P17" s="852"/>
      <c r="Q17" s="852"/>
      <c r="R17" s="852"/>
      <c r="S17" s="852"/>
      <c r="T17" s="852"/>
      <c r="U17" s="852"/>
      <c r="V17" s="852"/>
    </row>
    <row r="18" spans="1:22" s="12" customFormat="1" ht="30" customHeight="1" x14ac:dyDescent="0.25">
      <c r="A18" s="541"/>
      <c r="B18" s="339" t="s">
        <v>251</v>
      </c>
      <c r="C18" s="340" t="s">
        <v>984</v>
      </c>
      <c r="D18" s="500">
        <f t="shared" si="0"/>
        <v>478</v>
      </c>
      <c r="E18" s="427" t="s">
        <v>171</v>
      </c>
      <c r="F18" s="759" t="s">
        <v>723</v>
      </c>
      <c r="G18" s="953"/>
      <c r="H18" s="953"/>
      <c r="I18" s="953"/>
      <c r="J18" s="198" t="str">
        <f>IF(F18="","Belum Terisi",IF(AND($F$16="ada",F18="-"),"CEK",IF(AND($F$16="tidak ada",F18&lt;&gt;"-"),"CEK","")))</f>
        <v/>
      </c>
      <c r="K18" s="42" t="str">
        <f>IF(J18="CEK",$F$16&amp;" Kepala Seksi Kesejahteraan","")</f>
        <v/>
      </c>
      <c r="L18" s="42"/>
      <c r="M18" s="851"/>
      <c r="N18" s="851"/>
      <c r="O18" s="851"/>
      <c r="P18" s="851"/>
      <c r="Q18" s="851"/>
      <c r="R18" s="851"/>
      <c r="S18" s="851"/>
      <c r="T18" s="851"/>
      <c r="U18" s="851"/>
      <c r="V18" s="851"/>
    </row>
    <row r="19" spans="1:22" s="12" customFormat="1" ht="30" customHeight="1" x14ac:dyDescent="0.25">
      <c r="A19" s="540">
        <f>A16+1</f>
        <v>4</v>
      </c>
      <c r="B19" s="339" t="s">
        <v>41</v>
      </c>
      <c r="C19" s="340" t="s">
        <v>964</v>
      </c>
      <c r="D19" s="500">
        <f t="shared" si="0"/>
        <v>479</v>
      </c>
      <c r="E19" s="427" t="s">
        <v>171</v>
      </c>
      <c r="F19" s="757" t="s">
        <v>285</v>
      </c>
      <c r="G19" s="953"/>
      <c r="H19" s="953"/>
      <c r="I19" s="953"/>
      <c r="J19" s="198" t="str">
        <f>IF(LEN(F19)&gt;0,"","Belum Terisi")</f>
        <v/>
      </c>
      <c r="K19" s="31"/>
      <c r="L19" s="43"/>
      <c r="M19" s="851"/>
      <c r="N19" s="851"/>
      <c r="O19" s="851"/>
      <c r="P19" s="851"/>
      <c r="Q19" s="851"/>
      <c r="R19" s="851"/>
      <c r="S19" s="851"/>
      <c r="T19" s="851"/>
      <c r="U19" s="851"/>
      <c r="V19" s="851"/>
    </row>
    <row r="20" spans="1:22" s="20" customFormat="1" ht="30" customHeight="1" x14ac:dyDescent="0.25">
      <c r="A20" s="542"/>
      <c r="B20" s="339" t="s">
        <v>139</v>
      </c>
      <c r="C20" s="341" t="s">
        <v>975</v>
      </c>
      <c r="D20" s="500">
        <f t="shared" si="0"/>
        <v>480</v>
      </c>
      <c r="E20" s="455" t="s">
        <v>174</v>
      </c>
      <c r="F20" s="758" t="s">
        <v>2790</v>
      </c>
      <c r="G20" s="953"/>
      <c r="H20" s="953"/>
      <c r="I20" s="953"/>
      <c r="J20" s="198" t="str">
        <f>IF(F20="","Belum Terisi",IF(AND($F$19="ada",F20="-"),"CEK",IF(AND($F$19="tidak ada",F20&lt;&gt;"-"),"CEK","")))</f>
        <v/>
      </c>
      <c r="K20" s="42" t="str">
        <f>IF(J20="CEK",$F$19&amp;" Kepala Seksi Pelayanan","")</f>
        <v/>
      </c>
      <c r="L20" s="42"/>
      <c r="M20" s="852"/>
      <c r="N20" s="852"/>
      <c r="O20" s="852"/>
      <c r="P20" s="852"/>
      <c r="Q20" s="852"/>
      <c r="R20" s="852"/>
      <c r="S20" s="852"/>
      <c r="T20" s="852"/>
      <c r="U20" s="852"/>
      <c r="V20" s="852"/>
    </row>
    <row r="21" spans="1:22" s="12" customFormat="1" ht="30" customHeight="1" x14ac:dyDescent="0.25">
      <c r="A21" s="541"/>
      <c r="B21" s="339" t="s">
        <v>251</v>
      </c>
      <c r="C21" s="340" t="s">
        <v>984</v>
      </c>
      <c r="D21" s="500">
        <f t="shared" si="0"/>
        <v>481</v>
      </c>
      <c r="E21" s="427" t="s">
        <v>171</v>
      </c>
      <c r="F21" s="759" t="s">
        <v>723</v>
      </c>
      <c r="G21" s="953"/>
      <c r="H21" s="953"/>
      <c r="I21" s="953"/>
      <c r="J21" s="198" t="str">
        <f>IF(F21="","Belum Terisi",IF(AND($F$19="ada",F21="-"),"CEK",IF(AND($F$19="tidak ada",F21&lt;&gt;"-"),"CEK","")))</f>
        <v/>
      </c>
      <c r="K21" s="42" t="str">
        <f>IF(J21="CEK",$F$19&amp;" Kepala Seksi Pelayanan","")</f>
        <v/>
      </c>
      <c r="L21" s="42"/>
      <c r="M21" s="851"/>
      <c r="N21" s="851"/>
      <c r="O21" s="851"/>
      <c r="P21" s="851"/>
      <c r="Q21" s="851"/>
      <c r="R21" s="851"/>
      <c r="S21" s="851"/>
      <c r="T21" s="851"/>
      <c r="U21" s="851"/>
      <c r="V21" s="851"/>
    </row>
    <row r="22" spans="1:22" s="12" customFormat="1" ht="30" customHeight="1" x14ac:dyDescent="0.25">
      <c r="A22" s="643" t="s">
        <v>177</v>
      </c>
      <c r="B22" s="343"/>
      <c r="C22" s="343"/>
      <c r="D22" s="428"/>
      <c r="E22" s="429"/>
      <c r="F22" s="714"/>
      <c r="G22" s="953"/>
      <c r="H22" s="953"/>
      <c r="I22" s="953"/>
      <c r="J22" s="207"/>
      <c r="K22" s="31"/>
      <c r="L22" s="43"/>
      <c r="M22" s="851"/>
      <c r="N22" s="851"/>
      <c r="O22" s="851"/>
      <c r="P22" s="851"/>
      <c r="Q22" s="851"/>
      <c r="R22" s="851"/>
      <c r="S22" s="851"/>
      <c r="T22" s="851"/>
      <c r="U22" s="851"/>
      <c r="V22" s="851"/>
    </row>
    <row r="23" spans="1:22" s="12" customFormat="1" ht="30" customHeight="1" x14ac:dyDescent="0.25">
      <c r="A23" s="540">
        <f>A19+1</f>
        <v>5</v>
      </c>
      <c r="B23" s="339" t="s">
        <v>41</v>
      </c>
      <c r="C23" s="340" t="s">
        <v>965</v>
      </c>
      <c r="D23" s="100">
        <f>D21+1</f>
        <v>482</v>
      </c>
      <c r="E23" s="427" t="s">
        <v>171</v>
      </c>
      <c r="F23" s="693" t="s">
        <v>285</v>
      </c>
      <c r="G23" s="953"/>
      <c r="H23" s="953"/>
      <c r="I23" s="953"/>
      <c r="J23" s="198" t="str">
        <f>IF(LEN(F23)&gt;0,"","Belum Terisi")</f>
        <v/>
      </c>
      <c r="K23" s="31"/>
      <c r="L23" s="43"/>
      <c r="M23" s="851"/>
      <c r="N23" s="851"/>
      <c r="O23" s="851"/>
      <c r="P23" s="851"/>
      <c r="Q23" s="851"/>
      <c r="R23" s="851"/>
      <c r="S23" s="851"/>
      <c r="T23" s="851"/>
      <c r="U23" s="851"/>
      <c r="V23" s="851"/>
    </row>
    <row r="24" spans="1:22" s="20" customFormat="1" ht="30" customHeight="1" x14ac:dyDescent="0.25">
      <c r="A24" s="542"/>
      <c r="B24" s="339" t="s">
        <v>139</v>
      </c>
      <c r="C24" s="341" t="s">
        <v>976</v>
      </c>
      <c r="D24" s="500">
        <f t="shared" si="0"/>
        <v>483</v>
      </c>
      <c r="E24" s="455" t="s">
        <v>174</v>
      </c>
      <c r="F24" s="706" t="s">
        <v>2791</v>
      </c>
      <c r="G24" s="953"/>
      <c r="H24" s="953"/>
      <c r="I24" s="953"/>
      <c r="J24" s="198" t="str">
        <f>IF(F24="","Belum Terisi",IF(AND($F$23="ada",F24="-"),"CEK",IF(AND($F$23="tidak ada",F24&lt;&gt;"-"),"CEK","")))</f>
        <v/>
      </c>
      <c r="K24" s="42" t="str">
        <f>IF(J24="CEK",$F$23&amp;" Kepala Urusan Tata Usana dan Umum","")</f>
        <v/>
      </c>
      <c r="L24" s="42"/>
      <c r="M24" s="852"/>
      <c r="N24" s="852"/>
      <c r="O24" s="852"/>
      <c r="P24" s="852"/>
      <c r="Q24" s="852"/>
      <c r="R24" s="852"/>
      <c r="S24" s="852"/>
      <c r="T24" s="852"/>
      <c r="U24" s="852"/>
      <c r="V24" s="852"/>
    </row>
    <row r="25" spans="1:22" s="12" customFormat="1" ht="30" customHeight="1" x14ac:dyDescent="0.25">
      <c r="A25" s="541"/>
      <c r="B25" s="339" t="s">
        <v>251</v>
      </c>
      <c r="C25" s="340" t="s">
        <v>984</v>
      </c>
      <c r="D25" s="500">
        <f t="shared" si="0"/>
        <v>484</v>
      </c>
      <c r="E25" s="427" t="s">
        <v>171</v>
      </c>
      <c r="F25" s="697" t="s">
        <v>723</v>
      </c>
      <c r="G25" s="953"/>
      <c r="H25" s="953"/>
      <c r="I25" s="953"/>
      <c r="J25" s="198" t="str">
        <f>IF(F25="","Belum Terisi",IF(AND($F$23="ada",F25="-"),"CEK",IF(AND($F$23="tidak ada",F25&lt;&gt;"-"),"CEK","")))</f>
        <v/>
      </c>
      <c r="K25" s="42" t="str">
        <f>IF(J25="CEK",$F$23&amp;" Kepala Urusan Tata Usana dan Umum","")</f>
        <v/>
      </c>
      <c r="L25" s="42"/>
      <c r="M25" s="851"/>
      <c r="N25" s="851"/>
      <c r="O25" s="851"/>
      <c r="P25" s="851"/>
      <c r="Q25" s="851"/>
      <c r="R25" s="851"/>
      <c r="S25" s="851"/>
      <c r="T25" s="851"/>
      <c r="U25" s="851"/>
      <c r="V25" s="851"/>
    </row>
    <row r="26" spans="1:22" s="12" customFormat="1" ht="30" customHeight="1" x14ac:dyDescent="0.25">
      <c r="A26" s="540">
        <f>A23+1</f>
        <v>6</v>
      </c>
      <c r="B26" s="339" t="s">
        <v>41</v>
      </c>
      <c r="C26" s="340" t="s">
        <v>966</v>
      </c>
      <c r="D26" s="500">
        <f t="shared" si="0"/>
        <v>485</v>
      </c>
      <c r="E26" s="427" t="s">
        <v>171</v>
      </c>
      <c r="F26" s="693" t="s">
        <v>285</v>
      </c>
      <c r="G26" s="953"/>
      <c r="H26" s="953"/>
      <c r="I26" s="953"/>
      <c r="J26" s="198" t="str">
        <f>IF(LEN(F26)&gt;0,"","Belum Terisi")</f>
        <v/>
      </c>
      <c r="K26" s="31"/>
      <c r="L26" s="43"/>
      <c r="M26" s="851"/>
      <c r="N26" s="851"/>
      <c r="O26" s="851"/>
      <c r="P26" s="851"/>
      <c r="Q26" s="851"/>
      <c r="R26" s="851"/>
      <c r="S26" s="851"/>
      <c r="T26" s="851"/>
      <c r="U26" s="851"/>
      <c r="V26" s="851"/>
    </row>
    <row r="27" spans="1:22" s="20" customFormat="1" ht="30" customHeight="1" x14ac:dyDescent="0.25">
      <c r="A27" s="542"/>
      <c r="B27" s="339" t="s">
        <v>139</v>
      </c>
      <c r="C27" s="341" t="s">
        <v>977</v>
      </c>
      <c r="D27" s="500">
        <f t="shared" si="0"/>
        <v>486</v>
      </c>
      <c r="E27" s="455" t="s">
        <v>174</v>
      </c>
      <c r="F27" s="706" t="s">
        <v>2792</v>
      </c>
      <c r="G27" s="953"/>
      <c r="H27" s="953"/>
      <c r="I27" s="953"/>
      <c r="J27" s="198" t="str">
        <f>IF(F27="","Belum Terisi",IF(AND($F$26="ada",F27="-"),"CEK",IF(AND($F$26="tidak ada",F27&lt;&gt;"-"),"CEK","")))</f>
        <v/>
      </c>
      <c r="K27" s="42" t="str">
        <f>IF(J27="CEK",$F$26&amp;" Kepala Urusan Keuangan","")</f>
        <v/>
      </c>
      <c r="L27" s="42"/>
      <c r="M27" s="852"/>
      <c r="N27" s="852"/>
      <c r="O27" s="852"/>
      <c r="P27" s="852"/>
      <c r="Q27" s="852"/>
      <c r="R27" s="852"/>
      <c r="S27" s="852"/>
      <c r="T27" s="852"/>
      <c r="U27" s="852"/>
      <c r="V27" s="852"/>
    </row>
    <row r="28" spans="1:22" s="12" customFormat="1" ht="30" customHeight="1" x14ac:dyDescent="0.25">
      <c r="A28" s="541"/>
      <c r="B28" s="339" t="s">
        <v>251</v>
      </c>
      <c r="C28" s="340" t="s">
        <v>984</v>
      </c>
      <c r="D28" s="500">
        <f t="shared" si="0"/>
        <v>487</v>
      </c>
      <c r="E28" s="427" t="s">
        <v>171</v>
      </c>
      <c r="F28" s="697" t="s">
        <v>724</v>
      </c>
      <c r="G28" s="953"/>
      <c r="H28" s="953"/>
      <c r="I28" s="953"/>
      <c r="J28" s="198" t="str">
        <f>IF(F28="","Belum Terisi",IF(AND($F$27="ada",F28="-"),"CEK",IF(AND($F$27="tidak ada",F28&lt;&gt;"-"),"CEK","")))</f>
        <v/>
      </c>
      <c r="K28" s="42" t="str">
        <f>IF(J28="CEK",$F$26&amp;" Kepala Urusan Keuangan","")</f>
        <v/>
      </c>
      <c r="L28" s="42"/>
      <c r="M28" s="851"/>
      <c r="N28" s="851"/>
      <c r="O28" s="851"/>
      <c r="P28" s="851"/>
      <c r="Q28" s="851"/>
      <c r="R28" s="851"/>
      <c r="S28" s="851"/>
      <c r="T28" s="851"/>
      <c r="U28" s="851"/>
      <c r="V28" s="851"/>
    </row>
    <row r="29" spans="1:22" s="12" customFormat="1" ht="30" customHeight="1" x14ac:dyDescent="0.25">
      <c r="A29" s="540">
        <f>A26+1</f>
        <v>7</v>
      </c>
      <c r="B29" s="339" t="s">
        <v>41</v>
      </c>
      <c r="C29" s="340" t="s">
        <v>967</v>
      </c>
      <c r="D29" s="500">
        <f t="shared" si="0"/>
        <v>488</v>
      </c>
      <c r="E29" s="427" t="s">
        <v>171</v>
      </c>
      <c r="F29" s="693" t="s">
        <v>285</v>
      </c>
      <c r="G29" s="924"/>
      <c r="H29" s="922"/>
      <c r="I29" s="952"/>
      <c r="J29" s="198" t="str">
        <f>IF(LEN(F29)&gt;0,"","Belum Terisi")</f>
        <v/>
      </c>
      <c r="K29" s="31"/>
      <c r="L29" s="43"/>
      <c r="M29" s="851"/>
      <c r="N29" s="851"/>
      <c r="O29" s="851"/>
      <c r="P29" s="851"/>
      <c r="Q29" s="851"/>
      <c r="R29" s="851"/>
      <c r="S29" s="851"/>
      <c r="T29" s="851"/>
      <c r="U29" s="851"/>
      <c r="V29" s="851"/>
    </row>
    <row r="30" spans="1:22" s="20" customFormat="1" ht="30" customHeight="1" x14ac:dyDescent="0.25">
      <c r="A30" s="542"/>
      <c r="B30" s="339" t="s">
        <v>139</v>
      </c>
      <c r="C30" s="341" t="s">
        <v>978</v>
      </c>
      <c r="D30" s="500">
        <f t="shared" si="0"/>
        <v>489</v>
      </c>
      <c r="E30" s="455" t="s">
        <v>174</v>
      </c>
      <c r="F30" s="706" t="s">
        <v>2791</v>
      </c>
      <c r="G30" s="924"/>
      <c r="H30" s="922"/>
      <c r="I30" s="952"/>
      <c r="J30" s="198" t="str">
        <f>IF(F30="","Belum Terisi",IF(AND($F$29="ada",F30="-"),"CEK",IF(AND($F$29="tidak ada",F30&lt;&gt;"-"),"CEK","")))</f>
        <v/>
      </c>
      <c r="K30" s="42" t="str">
        <f>IF(J30="CEK",$F$29&amp;" Kepala Urusan Perencanaan","")</f>
        <v/>
      </c>
      <c r="L30" s="42"/>
      <c r="M30" s="852"/>
      <c r="N30" s="852"/>
      <c r="O30" s="852"/>
      <c r="P30" s="852"/>
      <c r="Q30" s="852"/>
      <c r="R30" s="852"/>
      <c r="S30" s="852"/>
      <c r="T30" s="852"/>
      <c r="U30" s="852"/>
      <c r="V30" s="852"/>
    </row>
    <row r="31" spans="1:22" s="12" customFormat="1" ht="30" customHeight="1" x14ac:dyDescent="0.25">
      <c r="A31" s="541"/>
      <c r="B31" s="339" t="s">
        <v>251</v>
      </c>
      <c r="C31" s="340" t="s">
        <v>984</v>
      </c>
      <c r="D31" s="500">
        <f t="shared" si="0"/>
        <v>490</v>
      </c>
      <c r="E31" s="442" t="s">
        <v>171</v>
      </c>
      <c r="F31" s="694" t="s">
        <v>723</v>
      </c>
      <c r="G31" s="924"/>
      <c r="H31" s="922"/>
      <c r="I31" s="952"/>
      <c r="J31" s="198" t="str">
        <f>IF(F31="","Belum Terisi",IF(AND($F$29="ada",F31="-"),"CEK",IF(AND($F$29="tidak ada",F31&lt;&gt;"-"),"CEK","")))</f>
        <v/>
      </c>
      <c r="K31" s="42" t="str">
        <f>IF(J31="CEK",$F$29&amp;" Kepala Urusan Perencanaan","")</f>
        <v/>
      </c>
      <c r="L31" s="42"/>
      <c r="M31" s="851"/>
      <c r="N31" s="851"/>
      <c r="O31" s="851"/>
      <c r="P31" s="851"/>
      <c r="Q31" s="851"/>
      <c r="R31" s="851"/>
      <c r="S31" s="851"/>
      <c r="T31" s="851"/>
      <c r="U31" s="851"/>
      <c r="V31" s="851"/>
    </row>
    <row r="32" spans="1:22" ht="30" customHeight="1" x14ac:dyDescent="0.25">
      <c r="A32" s="540">
        <f>A29+1</f>
        <v>8</v>
      </c>
      <c r="B32" s="339" t="s">
        <v>41</v>
      </c>
      <c r="C32" s="340" t="s">
        <v>968</v>
      </c>
      <c r="D32" s="500">
        <f t="shared" si="0"/>
        <v>491</v>
      </c>
      <c r="E32" s="28" t="s">
        <v>33</v>
      </c>
      <c r="F32" s="760"/>
      <c r="G32" s="924"/>
      <c r="H32" s="922" t="s">
        <v>538</v>
      </c>
      <c r="I32" s="923"/>
      <c r="J32" s="198" t="str">
        <f t="shared" ref="J32:J49" si="1">IF(LEN(F32)&gt;0,"","Belum Terisi")</f>
        <v>Belum Terisi</v>
      </c>
      <c r="K32" s="31"/>
      <c r="L32" s="31"/>
      <c r="M32" s="21"/>
      <c r="N32" s="21"/>
      <c r="O32" s="21"/>
      <c r="P32" s="21"/>
      <c r="Q32" s="21"/>
      <c r="R32" s="21"/>
      <c r="S32" s="21"/>
      <c r="T32" s="21"/>
      <c r="U32" s="21"/>
      <c r="V32" s="21"/>
    </row>
    <row r="33" spans="1:22" ht="30" customHeight="1" x14ac:dyDescent="0.25">
      <c r="A33" s="541"/>
      <c r="B33" s="344" t="s">
        <v>139</v>
      </c>
      <c r="C33" s="345" t="s">
        <v>969</v>
      </c>
      <c r="D33" s="500">
        <f t="shared" si="0"/>
        <v>492</v>
      </c>
      <c r="E33" s="28" t="s">
        <v>33</v>
      </c>
      <c r="F33" s="761"/>
      <c r="G33" s="924"/>
      <c r="H33" s="922" t="s">
        <v>538</v>
      </c>
      <c r="I33" s="923"/>
      <c r="J33" s="198" t="str">
        <f t="shared" si="1"/>
        <v>Belum Terisi</v>
      </c>
      <c r="K33" s="31"/>
      <c r="L33" s="43"/>
      <c r="M33" s="21"/>
      <c r="N33" s="21"/>
      <c r="O33" s="21"/>
      <c r="P33" s="21"/>
      <c r="Q33" s="21"/>
      <c r="R33" s="21"/>
      <c r="S33" s="21"/>
      <c r="T33" s="21"/>
      <c r="U33" s="21"/>
      <c r="V33" s="21"/>
    </row>
    <row r="34" spans="1:22" ht="30" customHeight="1" x14ac:dyDescent="0.25">
      <c r="A34" s="540">
        <f>A32+1</f>
        <v>9</v>
      </c>
      <c r="B34" s="339" t="s">
        <v>41</v>
      </c>
      <c r="C34" s="340" t="s">
        <v>979</v>
      </c>
      <c r="D34" s="500">
        <f t="shared" si="0"/>
        <v>493</v>
      </c>
      <c r="E34" s="28" t="s">
        <v>33</v>
      </c>
      <c r="F34" s="760"/>
      <c r="G34" s="924"/>
      <c r="H34" s="922" t="s">
        <v>538</v>
      </c>
      <c r="I34" s="923"/>
      <c r="J34" s="198" t="str">
        <f t="shared" si="1"/>
        <v>Belum Terisi</v>
      </c>
      <c r="K34" s="31"/>
      <c r="L34" s="43"/>
      <c r="M34" s="21"/>
      <c r="N34" s="21"/>
      <c r="O34" s="21"/>
      <c r="P34" s="21"/>
      <c r="Q34" s="21"/>
      <c r="R34" s="21"/>
      <c r="S34" s="21"/>
      <c r="T34" s="21"/>
      <c r="U34" s="21"/>
      <c r="V34" s="21"/>
    </row>
    <row r="35" spans="1:22" ht="30" customHeight="1" x14ac:dyDescent="0.25">
      <c r="A35" s="541"/>
      <c r="B35" s="344" t="s">
        <v>139</v>
      </c>
      <c r="C35" s="345" t="s">
        <v>980</v>
      </c>
      <c r="D35" s="500">
        <f t="shared" si="0"/>
        <v>494</v>
      </c>
      <c r="E35" s="28" t="s">
        <v>33</v>
      </c>
      <c r="F35" s="761"/>
      <c r="G35" s="924"/>
      <c r="H35" s="922" t="s">
        <v>538</v>
      </c>
      <c r="I35" s="923"/>
      <c r="J35" s="198" t="str">
        <f t="shared" si="1"/>
        <v>Belum Terisi</v>
      </c>
      <c r="K35" s="31"/>
      <c r="L35" s="43"/>
      <c r="M35" s="21"/>
      <c r="N35" s="21"/>
      <c r="O35" s="21"/>
      <c r="P35" s="21"/>
      <c r="Q35" s="21"/>
      <c r="R35" s="21"/>
      <c r="S35" s="21"/>
      <c r="T35" s="21"/>
      <c r="U35" s="21"/>
      <c r="V35" s="21"/>
    </row>
    <row r="36" spans="1:22" ht="30" customHeight="1" x14ac:dyDescent="0.25">
      <c r="A36" s="540">
        <f>A34+1</f>
        <v>10</v>
      </c>
      <c r="B36" s="339" t="s">
        <v>41</v>
      </c>
      <c r="C36" s="340" t="s">
        <v>982</v>
      </c>
      <c r="D36" s="500">
        <f t="shared" si="0"/>
        <v>495</v>
      </c>
      <c r="E36" s="28" t="s">
        <v>33</v>
      </c>
      <c r="F36" s="760"/>
      <c r="G36" s="924"/>
      <c r="H36" s="922" t="s">
        <v>538</v>
      </c>
      <c r="I36" s="923"/>
      <c r="J36" s="198" t="str">
        <f t="shared" si="1"/>
        <v>Belum Terisi</v>
      </c>
      <c r="K36" s="31"/>
      <c r="L36" s="31"/>
      <c r="M36" s="21"/>
      <c r="N36" s="21"/>
      <c r="O36" s="21"/>
      <c r="P36" s="21"/>
      <c r="Q36" s="21"/>
      <c r="R36" s="21"/>
      <c r="S36" s="21"/>
      <c r="T36" s="21"/>
      <c r="U36" s="21"/>
      <c r="V36" s="21"/>
    </row>
    <row r="37" spans="1:22" ht="30" customHeight="1" x14ac:dyDescent="0.25">
      <c r="A37" s="541"/>
      <c r="B37" s="344" t="s">
        <v>139</v>
      </c>
      <c r="C37" s="346" t="s">
        <v>983</v>
      </c>
      <c r="D37" s="500">
        <f t="shared" si="0"/>
        <v>496</v>
      </c>
      <c r="E37" s="28" t="s">
        <v>33</v>
      </c>
      <c r="F37" s="761"/>
      <c r="G37" s="924"/>
      <c r="H37" s="922" t="s">
        <v>538</v>
      </c>
      <c r="I37" s="923"/>
      <c r="J37" s="198" t="str">
        <f t="shared" si="1"/>
        <v>Belum Terisi</v>
      </c>
      <c r="K37" s="31"/>
      <c r="L37" s="31"/>
      <c r="M37" s="21"/>
      <c r="N37" s="21"/>
      <c r="O37" s="21"/>
      <c r="P37" s="21"/>
      <c r="Q37" s="21"/>
      <c r="R37" s="21"/>
      <c r="S37" s="21"/>
      <c r="T37" s="21"/>
      <c r="U37" s="21"/>
      <c r="V37" s="21"/>
    </row>
    <row r="38" spans="1:22" ht="30" customHeight="1" x14ac:dyDescent="0.25">
      <c r="A38" s="540">
        <f>A36+1</f>
        <v>11</v>
      </c>
      <c r="B38" s="339" t="s">
        <v>41</v>
      </c>
      <c r="C38" s="340" t="s">
        <v>970</v>
      </c>
      <c r="D38" s="500">
        <f t="shared" si="0"/>
        <v>497</v>
      </c>
      <c r="E38" s="28" t="s">
        <v>33</v>
      </c>
      <c r="F38" s="762"/>
      <c r="G38" s="924"/>
      <c r="H38" s="922" t="s">
        <v>538</v>
      </c>
      <c r="I38" s="923"/>
      <c r="J38" s="198" t="str">
        <f t="shared" si="1"/>
        <v>Belum Terisi</v>
      </c>
      <c r="K38" s="31"/>
      <c r="L38" s="31"/>
      <c r="M38" s="21"/>
      <c r="N38" s="847"/>
      <c r="O38" s="21"/>
      <c r="P38" s="21"/>
      <c r="Q38" s="21"/>
      <c r="R38" s="21"/>
      <c r="S38" s="21"/>
      <c r="T38" s="21"/>
      <c r="U38" s="21"/>
      <c r="V38" s="21"/>
    </row>
    <row r="39" spans="1:22" ht="30" customHeight="1" x14ac:dyDescent="0.25">
      <c r="A39" s="541"/>
      <c r="B39" s="344" t="s">
        <v>139</v>
      </c>
      <c r="C39" s="345" t="s">
        <v>971</v>
      </c>
      <c r="D39" s="500">
        <f t="shared" si="0"/>
        <v>498</v>
      </c>
      <c r="E39" s="28" t="s">
        <v>33</v>
      </c>
      <c r="F39" s="763"/>
      <c r="G39" s="924"/>
      <c r="H39" s="922" t="s">
        <v>538</v>
      </c>
      <c r="I39" s="923"/>
      <c r="J39" s="198" t="str">
        <f t="shared" si="1"/>
        <v>Belum Terisi</v>
      </c>
      <c r="K39" s="31"/>
      <c r="L39" s="31"/>
      <c r="M39" s="21"/>
      <c r="N39" s="21"/>
      <c r="O39" s="21"/>
      <c r="P39" s="21"/>
      <c r="Q39" s="21"/>
      <c r="R39" s="21"/>
      <c r="S39" s="21"/>
      <c r="T39" s="21"/>
      <c r="U39" s="21"/>
      <c r="V39" s="21"/>
    </row>
    <row r="40" spans="1:22" ht="30" customHeight="1" x14ac:dyDescent="0.25">
      <c r="A40" s="540">
        <f>A38+1</f>
        <v>12</v>
      </c>
      <c r="B40" s="339" t="s">
        <v>41</v>
      </c>
      <c r="C40" s="340" t="s">
        <v>985</v>
      </c>
      <c r="D40" s="500">
        <f t="shared" si="0"/>
        <v>499</v>
      </c>
      <c r="E40" s="28" t="s">
        <v>33</v>
      </c>
      <c r="F40" s="760"/>
      <c r="G40" s="924"/>
      <c r="H40" s="922" t="s">
        <v>538</v>
      </c>
      <c r="I40" s="923"/>
      <c r="J40" s="198" t="str">
        <f t="shared" si="1"/>
        <v>Belum Terisi</v>
      </c>
      <c r="K40" s="31"/>
      <c r="L40" s="43"/>
      <c r="M40" s="21"/>
      <c r="N40" s="847" t="s">
        <v>668</v>
      </c>
      <c r="O40" s="21"/>
      <c r="P40" s="21"/>
      <c r="Q40" s="21"/>
      <c r="R40" s="21"/>
      <c r="S40" s="21"/>
      <c r="T40" s="21"/>
      <c r="U40" s="21"/>
      <c r="V40" s="21"/>
    </row>
    <row r="41" spans="1:22" ht="30" customHeight="1" x14ac:dyDescent="0.25">
      <c r="A41" s="541"/>
      <c r="B41" s="344" t="s">
        <v>139</v>
      </c>
      <c r="C41" s="345" t="s">
        <v>986</v>
      </c>
      <c r="D41" s="500">
        <f t="shared" si="0"/>
        <v>500</v>
      </c>
      <c r="E41" s="28" t="s">
        <v>33</v>
      </c>
      <c r="F41" s="761"/>
      <c r="G41" s="924"/>
      <c r="H41" s="922" t="s">
        <v>538</v>
      </c>
      <c r="I41" s="923"/>
      <c r="J41" s="198" t="str">
        <f t="shared" si="1"/>
        <v>Belum Terisi</v>
      </c>
      <c r="K41" s="31"/>
      <c r="L41" s="43"/>
      <c r="M41" s="21"/>
      <c r="N41" s="847" t="s">
        <v>668</v>
      </c>
      <c r="O41" s="21"/>
      <c r="P41" s="21"/>
      <c r="Q41" s="21"/>
      <c r="R41" s="21"/>
      <c r="S41" s="21"/>
      <c r="T41" s="21"/>
      <c r="U41" s="21"/>
      <c r="V41" s="21"/>
    </row>
    <row r="42" spans="1:22" ht="30" customHeight="1" x14ac:dyDescent="0.25">
      <c r="A42" s="540">
        <f>A40+1</f>
        <v>13</v>
      </c>
      <c r="B42" s="339" t="s">
        <v>41</v>
      </c>
      <c r="C42" s="340" t="s">
        <v>987</v>
      </c>
      <c r="D42" s="500">
        <f t="shared" si="0"/>
        <v>501</v>
      </c>
      <c r="E42" s="28" t="s">
        <v>33</v>
      </c>
      <c r="F42" s="760"/>
      <c r="G42" s="924"/>
      <c r="H42" s="922" t="s">
        <v>538</v>
      </c>
      <c r="I42" s="923"/>
      <c r="J42" s="198" t="str">
        <f t="shared" si="1"/>
        <v>Belum Terisi</v>
      </c>
      <c r="K42" s="31"/>
      <c r="L42" s="31"/>
      <c r="M42" s="21"/>
      <c r="N42" s="21"/>
      <c r="O42" s="21"/>
      <c r="P42" s="21"/>
      <c r="Q42" s="21"/>
      <c r="R42" s="21"/>
      <c r="S42" s="21"/>
      <c r="T42" s="21"/>
      <c r="U42" s="21"/>
      <c r="V42" s="21"/>
    </row>
    <row r="43" spans="1:22" ht="30" customHeight="1" x14ac:dyDescent="0.25">
      <c r="A43" s="541"/>
      <c r="B43" s="344" t="s">
        <v>139</v>
      </c>
      <c r="C43" s="345" t="s">
        <v>988</v>
      </c>
      <c r="D43" s="500">
        <f t="shared" si="0"/>
        <v>502</v>
      </c>
      <c r="E43" s="28" t="s">
        <v>33</v>
      </c>
      <c r="F43" s="761"/>
      <c r="G43" s="924"/>
      <c r="H43" s="922" t="s">
        <v>538</v>
      </c>
      <c r="I43" s="923"/>
      <c r="J43" s="198" t="str">
        <f t="shared" si="1"/>
        <v>Belum Terisi</v>
      </c>
      <c r="K43" s="31"/>
      <c r="L43" s="43"/>
      <c r="M43" s="21"/>
      <c r="N43" s="21"/>
      <c r="O43" s="21"/>
      <c r="P43" s="21"/>
      <c r="Q43" s="21"/>
      <c r="R43" s="21"/>
      <c r="S43" s="21"/>
      <c r="T43" s="21"/>
      <c r="U43" s="21"/>
      <c r="V43" s="21"/>
    </row>
    <row r="44" spans="1:22" ht="30" customHeight="1" x14ac:dyDescent="0.25">
      <c r="A44" s="540">
        <f>A42+1</f>
        <v>14</v>
      </c>
      <c r="B44" s="339" t="s">
        <v>41</v>
      </c>
      <c r="C44" s="340" t="s">
        <v>989</v>
      </c>
      <c r="D44" s="500">
        <f t="shared" si="0"/>
        <v>503</v>
      </c>
      <c r="E44" s="28" t="s">
        <v>33</v>
      </c>
      <c r="F44" s="760"/>
      <c r="G44" s="924"/>
      <c r="H44" s="922" t="s">
        <v>538</v>
      </c>
      <c r="I44" s="923"/>
      <c r="J44" s="198" t="str">
        <f t="shared" si="1"/>
        <v>Belum Terisi</v>
      </c>
      <c r="K44" s="31"/>
      <c r="L44" s="43"/>
      <c r="M44" s="21"/>
      <c r="N44" s="21"/>
      <c r="O44" s="21"/>
      <c r="P44" s="21"/>
      <c r="Q44" s="21"/>
      <c r="R44" s="21"/>
      <c r="S44" s="21"/>
      <c r="T44" s="21"/>
      <c r="U44" s="21"/>
      <c r="V44" s="21"/>
    </row>
    <row r="45" spans="1:22" ht="30" customHeight="1" x14ac:dyDescent="0.25">
      <c r="A45" s="541"/>
      <c r="B45" s="344" t="s">
        <v>139</v>
      </c>
      <c r="C45" s="345" t="s">
        <v>990</v>
      </c>
      <c r="D45" s="500">
        <f t="shared" si="0"/>
        <v>504</v>
      </c>
      <c r="E45" s="28" t="s">
        <v>33</v>
      </c>
      <c r="F45" s="761"/>
      <c r="G45" s="924"/>
      <c r="H45" s="922" t="s">
        <v>538</v>
      </c>
      <c r="I45" s="923"/>
      <c r="J45" s="198" t="str">
        <f t="shared" si="1"/>
        <v>Belum Terisi</v>
      </c>
      <c r="K45" s="31"/>
      <c r="L45" s="43"/>
      <c r="M45" s="21"/>
      <c r="N45" s="21"/>
      <c r="O45" s="21"/>
      <c r="P45" s="21"/>
      <c r="Q45" s="21"/>
      <c r="R45" s="21"/>
      <c r="S45" s="21"/>
      <c r="T45" s="21"/>
      <c r="U45" s="21"/>
      <c r="V45" s="21"/>
    </row>
    <row r="46" spans="1:22" ht="30" customHeight="1" x14ac:dyDescent="0.25">
      <c r="A46" s="540">
        <f>A44+1</f>
        <v>15</v>
      </c>
      <c r="B46" s="339" t="s">
        <v>41</v>
      </c>
      <c r="C46" s="340" t="s">
        <v>991</v>
      </c>
      <c r="D46" s="500">
        <f t="shared" si="0"/>
        <v>505</v>
      </c>
      <c r="E46" s="28" t="s">
        <v>33</v>
      </c>
      <c r="F46" s="760"/>
      <c r="G46" s="924"/>
      <c r="H46" s="922" t="s">
        <v>538</v>
      </c>
      <c r="I46" s="923"/>
      <c r="J46" s="198" t="str">
        <f t="shared" si="1"/>
        <v>Belum Terisi</v>
      </c>
      <c r="K46" s="31"/>
      <c r="L46" s="31"/>
      <c r="M46" s="21"/>
      <c r="N46" s="21"/>
      <c r="O46" s="21"/>
      <c r="P46" s="21"/>
      <c r="Q46" s="21"/>
      <c r="R46" s="21"/>
      <c r="S46" s="21"/>
      <c r="T46" s="21"/>
      <c r="U46" s="21"/>
      <c r="V46" s="21"/>
    </row>
    <row r="47" spans="1:22" ht="30" customHeight="1" x14ac:dyDescent="0.25">
      <c r="A47" s="541"/>
      <c r="B47" s="344" t="s">
        <v>139</v>
      </c>
      <c r="C47" s="345" t="s">
        <v>992</v>
      </c>
      <c r="D47" s="500">
        <f t="shared" si="0"/>
        <v>506</v>
      </c>
      <c r="E47" s="28" t="s">
        <v>33</v>
      </c>
      <c r="F47" s="761"/>
      <c r="G47" s="924"/>
      <c r="H47" s="922" t="s">
        <v>538</v>
      </c>
      <c r="I47" s="923"/>
      <c r="J47" s="198" t="str">
        <f t="shared" si="1"/>
        <v>Belum Terisi</v>
      </c>
      <c r="K47" s="31"/>
      <c r="L47" s="43"/>
      <c r="M47" s="21"/>
      <c r="N47" s="21"/>
      <c r="O47" s="21"/>
      <c r="P47" s="21"/>
      <c r="Q47" s="21"/>
      <c r="R47" s="21"/>
      <c r="S47" s="21"/>
      <c r="T47" s="21"/>
      <c r="U47" s="21"/>
      <c r="V47" s="21"/>
    </row>
    <row r="48" spans="1:22" ht="39.6" customHeight="1" x14ac:dyDescent="0.25">
      <c r="A48" s="538">
        <f>A46+1</f>
        <v>16</v>
      </c>
      <c r="B48" s="226"/>
      <c r="C48" s="347" t="s">
        <v>782</v>
      </c>
      <c r="D48" s="500">
        <f t="shared" si="0"/>
        <v>507</v>
      </c>
      <c r="E48" s="435" t="s">
        <v>171</v>
      </c>
      <c r="F48" s="686" t="s">
        <v>285</v>
      </c>
      <c r="G48" s="927"/>
      <c r="H48" s="928"/>
      <c r="I48" s="929"/>
      <c r="J48" s="198" t="str">
        <f t="shared" si="1"/>
        <v/>
      </c>
      <c r="K48" s="31"/>
      <c r="L48" s="43"/>
      <c r="M48" s="21"/>
      <c r="N48" s="21" t="s">
        <v>668</v>
      </c>
      <c r="O48" s="21"/>
      <c r="P48" s="21"/>
      <c r="Q48" s="21"/>
      <c r="R48" s="21"/>
      <c r="S48" s="21"/>
      <c r="T48" s="21"/>
      <c r="U48" s="21"/>
      <c r="V48" s="21"/>
    </row>
    <row r="49" spans="1:22" ht="30" customHeight="1" x14ac:dyDescent="0.25">
      <c r="A49" s="540">
        <f>A48+1</f>
        <v>17</v>
      </c>
      <c r="B49" s="339" t="s">
        <v>41</v>
      </c>
      <c r="C49" s="348" t="s">
        <v>998</v>
      </c>
      <c r="D49" s="500">
        <f t="shared" si="0"/>
        <v>508</v>
      </c>
      <c r="E49" s="427" t="s">
        <v>171</v>
      </c>
      <c r="F49" s="757" t="s">
        <v>285</v>
      </c>
      <c r="G49" s="924"/>
      <c r="H49" s="922"/>
      <c r="I49" s="923"/>
      <c r="J49" s="198" t="str">
        <f t="shared" si="1"/>
        <v/>
      </c>
      <c r="K49" s="31"/>
      <c r="L49" s="43"/>
      <c r="M49" s="21"/>
      <c r="N49" s="847"/>
      <c r="O49" s="21"/>
      <c r="P49" s="21"/>
      <c r="Q49" s="21"/>
      <c r="R49" s="21"/>
      <c r="S49" s="21"/>
      <c r="T49" s="21"/>
      <c r="U49" s="21"/>
      <c r="V49" s="21"/>
    </row>
    <row r="50" spans="1:22" ht="30" customHeight="1" x14ac:dyDescent="0.25">
      <c r="A50" s="541"/>
      <c r="B50" s="344" t="s">
        <v>139</v>
      </c>
      <c r="C50" s="348" t="s">
        <v>999</v>
      </c>
      <c r="D50" s="500">
        <f t="shared" si="0"/>
        <v>509</v>
      </c>
      <c r="E50" s="427" t="s">
        <v>70</v>
      </c>
      <c r="F50" s="712">
        <v>10</v>
      </c>
      <c r="G50" s="924"/>
      <c r="H50" s="922" t="s">
        <v>2777</v>
      </c>
      <c r="I50" s="923"/>
      <c r="J50" s="198" t="str">
        <f>IF(F50="","Belum Terisi",IF(AND(F49="Tidak Ada",F50&lt;&gt;0),"CEK",IF(AND(F49="ada",F50=0),"CEK","")))</f>
        <v/>
      </c>
      <c r="K50" s="31" t="str">
        <f>IF(AND(J50="CEK",F49="Ada",F50=0),"Terdapat Kelompok/Lembaga/Organisasi Tani minimal 1 kali Kegiatan",IF(AND(J50="CEK",F49="tidak ada",F50&lt;&gt;0),"Tidak Ada Kelompok/Lembaga/Organisasi Tani",""))</f>
        <v/>
      </c>
      <c r="L50" s="43"/>
      <c r="M50" s="21"/>
      <c r="N50" s="21"/>
      <c r="O50" s="21"/>
      <c r="P50" s="21"/>
      <c r="Q50" s="21"/>
      <c r="R50" s="21"/>
      <c r="S50" s="21"/>
      <c r="T50" s="21"/>
      <c r="U50" s="21"/>
      <c r="V50" s="21"/>
    </row>
    <row r="51" spans="1:22" ht="30" customHeight="1" x14ac:dyDescent="0.25">
      <c r="A51" s="540">
        <f>A49+1</f>
        <v>18</v>
      </c>
      <c r="B51" s="339" t="s">
        <v>41</v>
      </c>
      <c r="C51" s="348" t="s">
        <v>1000</v>
      </c>
      <c r="D51" s="500">
        <f t="shared" si="0"/>
        <v>510</v>
      </c>
      <c r="E51" s="427" t="s">
        <v>171</v>
      </c>
      <c r="F51" s="757" t="s">
        <v>263</v>
      </c>
      <c r="G51" s="924"/>
      <c r="H51" s="922"/>
      <c r="I51" s="923"/>
      <c r="J51" s="198" t="str">
        <f>IF(LEN(F51)&gt;0,"","Belum Terisi")</f>
        <v/>
      </c>
      <c r="K51" s="31"/>
      <c r="L51" s="31"/>
      <c r="M51" s="21"/>
      <c r="N51" s="847"/>
      <c r="O51" s="21"/>
      <c r="P51" s="21"/>
      <c r="Q51" s="21"/>
      <c r="R51" s="21"/>
      <c r="S51" s="21"/>
      <c r="T51" s="21"/>
      <c r="U51" s="21"/>
      <c r="V51" s="21"/>
    </row>
    <row r="52" spans="1:22" ht="30" customHeight="1" x14ac:dyDescent="0.25">
      <c r="A52" s="541"/>
      <c r="B52" s="344" t="s">
        <v>139</v>
      </c>
      <c r="C52" s="348" t="s">
        <v>1001</v>
      </c>
      <c r="D52" s="500">
        <f t="shared" si="0"/>
        <v>511</v>
      </c>
      <c r="E52" s="427" t="s">
        <v>70</v>
      </c>
      <c r="F52" s="712">
        <v>0</v>
      </c>
      <c r="G52" s="924"/>
      <c r="H52" s="922" t="s">
        <v>561</v>
      </c>
      <c r="I52" s="923"/>
      <c r="J52" s="198" t="str">
        <f>IF(F52="","Belum Terisi",IF(AND(F51="Tidak Ada",F52&lt;&gt;0),"CEK",IF(AND(F51="ada",F52=0),"CEK","")))</f>
        <v/>
      </c>
      <c r="K52" s="31" t="str">
        <f>IF(AND(J52="CEK",F51="Ada",F52=0),"Terdapat Kelompok/Lembaga/Organisasi Nelayan minimal 1 kali Kegiatan",IF(AND(J52="CEK",F51="tidak ada",F52&lt;&gt;0),"Tidak Ada Kelompok/Lembaga/Organisasi Nelayan",""))</f>
        <v/>
      </c>
      <c r="L52" s="43"/>
      <c r="M52" s="21"/>
      <c r="N52" s="21"/>
      <c r="O52" s="21"/>
      <c r="P52" s="21"/>
      <c r="Q52" s="21"/>
      <c r="R52" s="21"/>
      <c r="S52" s="21"/>
      <c r="T52" s="21"/>
      <c r="U52" s="21"/>
      <c r="V52" s="21"/>
    </row>
    <row r="53" spans="1:22" ht="30" customHeight="1" x14ac:dyDescent="0.25">
      <c r="A53" s="540">
        <f>A51+1</f>
        <v>19</v>
      </c>
      <c r="B53" s="339" t="s">
        <v>41</v>
      </c>
      <c r="C53" s="349" t="s">
        <v>1015</v>
      </c>
      <c r="D53" s="500">
        <f t="shared" si="0"/>
        <v>512</v>
      </c>
      <c r="E53" s="427" t="s">
        <v>171</v>
      </c>
      <c r="F53" s="757" t="s">
        <v>285</v>
      </c>
      <c r="G53" s="924"/>
      <c r="H53" s="922"/>
      <c r="I53" s="923"/>
      <c r="J53" s="198" t="str">
        <f>IF(LEN(F53)&gt;0,"","Belum Terisi")</f>
        <v/>
      </c>
      <c r="K53" s="31"/>
      <c r="L53" s="43"/>
      <c r="M53" s="21"/>
      <c r="N53" s="847"/>
      <c r="O53" s="21"/>
      <c r="P53" s="21"/>
      <c r="Q53" s="21"/>
      <c r="R53" s="21"/>
      <c r="S53" s="21"/>
      <c r="T53" s="21"/>
      <c r="U53" s="21"/>
      <c r="V53" s="21"/>
    </row>
    <row r="54" spans="1:22" ht="30" customHeight="1" x14ac:dyDescent="0.25">
      <c r="A54" s="541"/>
      <c r="B54" s="344" t="s">
        <v>139</v>
      </c>
      <c r="C54" s="348" t="s">
        <v>1002</v>
      </c>
      <c r="D54" s="500">
        <f t="shared" si="0"/>
        <v>513</v>
      </c>
      <c r="E54" s="427" t="s">
        <v>70</v>
      </c>
      <c r="F54" s="712">
        <v>10</v>
      </c>
      <c r="G54" s="924"/>
      <c r="H54" s="922" t="s">
        <v>561</v>
      </c>
      <c r="I54" s="923"/>
      <c r="J54" s="198" t="str">
        <f>IF(F54="","Belum Terisi",IF(AND(F53="Tidak Ada",F54&lt;&gt;0),"CEK",IF(AND(F53="ada",F54=0),"CEK","")))</f>
        <v/>
      </c>
      <c r="K54" s="31" t="str">
        <f>IF(AND(J54="CEK",F53="Ada",F54=0),"Terdapat Kelompok/Lembaga/Organisasi Usaha Ternak minimal 1 kali Kegiatan",IF(AND(J54="CEK",F53="tidak ada",F54&lt;&gt;0),"Tidak Ada Kelompok/Lembaga/Organisasi Usaha Ternak",""))</f>
        <v/>
      </c>
      <c r="L54" s="43"/>
      <c r="M54" s="21"/>
      <c r="N54" s="21"/>
      <c r="O54" s="21"/>
      <c r="P54" s="21"/>
      <c r="Q54" s="21"/>
      <c r="R54" s="21"/>
      <c r="S54" s="21"/>
      <c r="T54" s="21"/>
      <c r="U54" s="21"/>
      <c r="V54" s="21"/>
    </row>
    <row r="55" spans="1:22" ht="30" customHeight="1" x14ac:dyDescent="0.25">
      <c r="A55" s="540">
        <f>A53+1</f>
        <v>20</v>
      </c>
      <c r="B55" s="339" t="s">
        <v>41</v>
      </c>
      <c r="C55" s="348" t="s">
        <v>1003</v>
      </c>
      <c r="D55" s="500">
        <f t="shared" si="0"/>
        <v>514</v>
      </c>
      <c r="E55" s="427" t="s">
        <v>171</v>
      </c>
      <c r="F55" s="757" t="s">
        <v>263</v>
      </c>
      <c r="G55" s="924"/>
      <c r="H55" s="922"/>
      <c r="I55" s="923"/>
      <c r="J55" s="198" t="str">
        <f>IF(LEN(F55)&gt;0,"","Belum Terisi")</f>
        <v/>
      </c>
      <c r="K55" s="31"/>
      <c r="L55" s="31"/>
      <c r="M55" s="21"/>
      <c r="N55" s="847"/>
      <c r="O55" s="21"/>
      <c r="P55" s="21"/>
      <c r="Q55" s="21"/>
      <c r="R55" s="21"/>
      <c r="S55" s="21"/>
      <c r="T55" s="21"/>
      <c r="U55" s="21"/>
      <c r="V55" s="21"/>
    </row>
    <row r="56" spans="1:22" ht="30" customHeight="1" x14ac:dyDescent="0.25">
      <c r="A56" s="541"/>
      <c r="B56" s="344" t="s">
        <v>139</v>
      </c>
      <c r="C56" s="348" t="s">
        <v>1004</v>
      </c>
      <c r="D56" s="500">
        <f t="shared" si="0"/>
        <v>515</v>
      </c>
      <c r="E56" s="427" t="s">
        <v>70</v>
      </c>
      <c r="F56" s="712">
        <v>0</v>
      </c>
      <c r="G56" s="924"/>
      <c r="H56" s="922" t="s">
        <v>561</v>
      </c>
      <c r="I56" s="923"/>
      <c r="J56" s="198" t="str">
        <f>IF(F56="","Belum Terisi",IF(AND(F55="Tidak Ada",F56&lt;&gt;0),"CEK",IF(AND(F55="ada",F56=0),"CEK","")))</f>
        <v/>
      </c>
      <c r="K56" s="31" t="str">
        <f>IF(AND(J56="CEK",F55="Ada",F56=0),"Terdapat Kelompok/Lembaga/Organisasi Pengrajin minimal 1 kali Kegiatan",IF(AND(J56="CEK",F55="tidak ada",F56&lt;&gt;0),"Tidak Ada Kelompok/Lembaga/Organisasi Pengrajin",""))</f>
        <v/>
      </c>
      <c r="L56" s="43"/>
      <c r="M56" s="21"/>
      <c r="N56" s="21"/>
      <c r="O56" s="21"/>
      <c r="P56" s="21"/>
      <c r="Q56" s="21"/>
      <c r="R56" s="21"/>
      <c r="S56" s="21"/>
      <c r="T56" s="21"/>
      <c r="U56" s="21"/>
      <c r="V56" s="21"/>
    </row>
    <row r="57" spans="1:22" ht="30" customHeight="1" x14ac:dyDescent="0.25">
      <c r="A57" s="540">
        <f>A55+1</f>
        <v>21</v>
      </c>
      <c r="B57" s="339" t="s">
        <v>41</v>
      </c>
      <c r="C57" s="348" t="s">
        <v>1007</v>
      </c>
      <c r="D57" s="500">
        <f t="shared" si="0"/>
        <v>516</v>
      </c>
      <c r="E57" s="427" t="s">
        <v>171</v>
      </c>
      <c r="F57" s="757" t="s">
        <v>263</v>
      </c>
      <c r="G57" s="924"/>
      <c r="H57" s="922"/>
      <c r="I57" s="923"/>
      <c r="J57" s="198" t="str">
        <f>IF(LEN(F57)&gt;0,"","Belum Terisi")</f>
        <v/>
      </c>
      <c r="K57" s="31"/>
      <c r="L57" s="43"/>
      <c r="M57" s="21"/>
      <c r="N57" s="847" t="s">
        <v>668</v>
      </c>
      <c r="O57" s="21"/>
      <c r="P57" s="21"/>
      <c r="Q57" s="21"/>
      <c r="R57" s="21"/>
      <c r="S57" s="21"/>
      <c r="T57" s="21"/>
      <c r="U57" s="21"/>
      <c r="V57" s="21"/>
    </row>
    <row r="58" spans="1:22" ht="30" customHeight="1" x14ac:dyDescent="0.25">
      <c r="A58" s="541"/>
      <c r="B58" s="344" t="s">
        <v>139</v>
      </c>
      <c r="C58" s="348" t="s">
        <v>1008</v>
      </c>
      <c r="D58" s="500">
        <f t="shared" si="0"/>
        <v>517</v>
      </c>
      <c r="E58" s="427" t="s">
        <v>70</v>
      </c>
      <c r="F58" s="758">
        <v>0</v>
      </c>
      <c r="G58" s="924"/>
      <c r="H58" s="922" t="s">
        <v>561</v>
      </c>
      <c r="I58" s="923"/>
      <c r="J58" s="198" t="str">
        <f>IF(F58="","Belum Terisi",IF(AND(F57="Tidak Ada",F58&lt;&gt;0),"CEK",IF(AND(F57="ada",F58=0),"CEK","")))</f>
        <v/>
      </c>
      <c r="K58" s="31" t="str">
        <f>IF(AND(J58="CEK",F57="Ada",F58=0),"Terdapat Kelompok/Lembaga/Organisasi Khusus Wanita minimal 1 kali Kegiatan",IF(AND(J58="CEK",F57="tidak ada",F58&lt;&gt;0),"Tidak Ada Kelompok/Lembaga/Organisasi Khusus Wanita",""))</f>
        <v/>
      </c>
      <c r="L58" s="43"/>
      <c r="M58" s="21"/>
      <c r="N58" s="847" t="s">
        <v>668</v>
      </c>
      <c r="O58" s="21"/>
      <c r="P58" s="21"/>
      <c r="Q58" s="21"/>
      <c r="R58" s="21"/>
      <c r="S58" s="21"/>
      <c r="T58" s="21"/>
      <c r="U58" s="21"/>
      <c r="V58" s="21"/>
    </row>
    <row r="59" spans="1:22" ht="40.15" customHeight="1" x14ac:dyDescent="0.25">
      <c r="A59" s="540">
        <f>A57+1</f>
        <v>22</v>
      </c>
      <c r="B59" s="339" t="s">
        <v>41</v>
      </c>
      <c r="C59" s="350" t="s">
        <v>783</v>
      </c>
      <c r="D59" s="500">
        <f t="shared" si="0"/>
        <v>518</v>
      </c>
      <c r="E59" s="427" t="s">
        <v>171</v>
      </c>
      <c r="F59" s="705" t="s">
        <v>263</v>
      </c>
      <c r="G59" s="924"/>
      <c r="H59" s="922"/>
      <c r="I59" s="923"/>
      <c r="J59" s="198" t="str">
        <f>IF(LEN(F59)&gt;0,"","Belum Terisi")</f>
        <v/>
      </c>
      <c r="K59" s="31"/>
      <c r="L59" s="31"/>
      <c r="M59" s="21"/>
      <c r="N59" s="847" t="s">
        <v>668</v>
      </c>
      <c r="O59" s="21"/>
      <c r="P59" s="21"/>
      <c r="Q59" s="21"/>
      <c r="R59" s="21"/>
      <c r="S59" s="21"/>
      <c r="T59" s="21"/>
      <c r="U59" s="21"/>
      <c r="V59" s="21"/>
    </row>
    <row r="60" spans="1:22" ht="40.15" customHeight="1" x14ac:dyDescent="0.25">
      <c r="A60" s="541"/>
      <c r="B60" s="344" t="s">
        <v>139</v>
      </c>
      <c r="C60" s="910" t="s">
        <v>2773</v>
      </c>
      <c r="D60" s="500">
        <f t="shared" si="0"/>
        <v>519</v>
      </c>
      <c r="E60" s="427" t="s">
        <v>171</v>
      </c>
      <c r="F60" s="712" t="s">
        <v>263</v>
      </c>
      <c r="G60" s="924"/>
      <c r="H60" s="922"/>
      <c r="I60" s="923"/>
      <c r="J60" s="198" t="str">
        <f>IF(LEN(F60)&gt;0,"","Belum Terisi")</f>
        <v/>
      </c>
      <c r="K60" s="31"/>
      <c r="L60" s="31"/>
      <c r="M60" s="21"/>
      <c r="N60" s="847" t="s">
        <v>668</v>
      </c>
      <c r="O60" s="21"/>
      <c r="P60" s="21"/>
      <c r="Q60" s="21"/>
      <c r="R60" s="21"/>
      <c r="S60" s="21"/>
      <c r="T60" s="21"/>
      <c r="U60" s="21"/>
      <c r="V60" s="21"/>
    </row>
    <row r="61" spans="1:22" ht="30" customHeight="1" x14ac:dyDescent="0.25">
      <c r="A61" s="540">
        <f>A59+1</f>
        <v>23</v>
      </c>
      <c r="B61" s="339" t="s">
        <v>41</v>
      </c>
      <c r="C61" s="348" t="s">
        <v>1009</v>
      </c>
      <c r="D61" s="500">
        <f t="shared" si="0"/>
        <v>520</v>
      </c>
      <c r="E61" s="427" t="s">
        <v>171</v>
      </c>
      <c r="F61" s="757" t="s">
        <v>263</v>
      </c>
      <c r="G61" s="924"/>
      <c r="H61" s="922"/>
      <c r="I61" s="923"/>
      <c r="J61" s="198" t="str">
        <f>IF(LEN(F61)&gt;0,"","Belum Terisi")</f>
        <v/>
      </c>
      <c r="K61" s="31"/>
      <c r="L61" s="31"/>
      <c r="M61" s="21"/>
      <c r="N61" s="21"/>
      <c r="O61" s="21"/>
      <c r="P61" s="21" t="s">
        <v>670</v>
      </c>
      <c r="Q61" s="21"/>
      <c r="R61" s="21"/>
      <c r="S61" s="21"/>
      <c r="T61" s="21"/>
      <c r="U61" s="21"/>
      <c r="V61" s="21"/>
    </row>
    <row r="62" spans="1:22" ht="40.15" customHeight="1" x14ac:dyDescent="0.25">
      <c r="A62" s="541"/>
      <c r="B62" s="344" t="s">
        <v>139</v>
      </c>
      <c r="C62" s="348" t="s">
        <v>1010</v>
      </c>
      <c r="D62" s="500">
        <f t="shared" si="0"/>
        <v>521</v>
      </c>
      <c r="E62" s="427" t="s">
        <v>70</v>
      </c>
      <c r="F62" s="712">
        <v>0</v>
      </c>
      <c r="G62" s="924"/>
      <c r="H62" s="922" t="s">
        <v>561</v>
      </c>
      <c r="I62" s="923"/>
      <c r="J62" s="198" t="str">
        <f>IF(F62="","Belum Terisi",IF(AND(F61="Tidak Ada",F62&lt;&gt;0),"CEK",IF(AND(F61="ada",F62=0),"CEK","")))</f>
        <v/>
      </c>
      <c r="K62" s="31" t="str">
        <f>IF(AND(J62="CEK",F61="Ada",F62=0),"Terdapat Kelompok/Lembaga/Organisasi Pokdarwis minimal 1 kali Kegiatan",IF(AND(J62="CEK",F61="tidak ada",F62&lt;&gt;0),"Tidak Ada Kelompok/Lembaga/Organisasi Pokdarwis",""))</f>
        <v/>
      </c>
      <c r="L62" s="43"/>
      <c r="M62" s="21"/>
      <c r="N62" s="21"/>
      <c r="O62" s="21"/>
      <c r="P62" s="21" t="s">
        <v>670</v>
      </c>
      <c r="Q62" s="21"/>
      <c r="R62" s="21"/>
      <c r="S62" s="21"/>
      <c r="T62" s="21"/>
      <c r="U62" s="21"/>
      <c r="V62" s="21"/>
    </row>
    <row r="63" spans="1:22" ht="30" customHeight="1" x14ac:dyDescent="0.25">
      <c r="A63" s="540">
        <f>A61+1</f>
        <v>24</v>
      </c>
      <c r="B63" s="339" t="s">
        <v>41</v>
      </c>
      <c r="C63" s="348" t="s">
        <v>1005</v>
      </c>
      <c r="D63" s="500">
        <f t="shared" si="0"/>
        <v>522</v>
      </c>
      <c r="E63" s="427" t="s">
        <v>171</v>
      </c>
      <c r="F63" s="757" t="s">
        <v>285</v>
      </c>
      <c r="G63" s="924"/>
      <c r="H63" s="922" t="s">
        <v>2628</v>
      </c>
      <c r="I63" s="923"/>
      <c r="J63" s="198" t="str">
        <f>IF(LEN(F63)&gt;0,"","Belum Terisi")</f>
        <v/>
      </c>
      <c r="K63" s="31"/>
      <c r="L63" s="43"/>
      <c r="M63" s="21"/>
      <c r="N63" s="847" t="s">
        <v>668</v>
      </c>
      <c r="O63" s="21"/>
      <c r="P63" s="21"/>
      <c r="Q63" s="21"/>
      <c r="R63" s="21"/>
      <c r="S63" s="21"/>
      <c r="T63" s="21"/>
      <c r="U63" s="21"/>
      <c r="V63" s="21"/>
    </row>
    <row r="64" spans="1:22" ht="40.15" customHeight="1" x14ac:dyDescent="0.25">
      <c r="A64" s="541"/>
      <c r="B64" s="344" t="s">
        <v>139</v>
      </c>
      <c r="C64" s="348" t="s">
        <v>1006</v>
      </c>
      <c r="D64" s="500">
        <f t="shared" si="0"/>
        <v>523</v>
      </c>
      <c r="E64" s="427" t="s">
        <v>70</v>
      </c>
      <c r="F64" s="758">
        <v>5</v>
      </c>
      <c r="G64" s="924"/>
      <c r="H64" s="922" t="s">
        <v>2629</v>
      </c>
      <c r="I64" s="923"/>
      <c r="J64" s="198" t="str">
        <f>IF(F64="","Belum Terisi",IF(AND(F63="Tidak Ada",F64&lt;&gt;0),"CEK",IF(AND(F63="ada",F64=0),"CEK","")))</f>
        <v/>
      </c>
      <c r="K64" s="31" t="str">
        <f>IF(AND(J64="CEK",F63="Ada",F64=0),"Terdapat Kelompok/Lembaga/Organisasi Penanggulangan Bencana minimal 1 kali Kegiatan",IF(AND(J64="CEK",F63="tidak ada",F64&lt;&gt;0),"Tidak Ada Kelompok/Lembaga/Organisasi Penanggulangan Bencana",""))</f>
        <v/>
      </c>
      <c r="L64" s="43"/>
      <c r="M64" s="21"/>
      <c r="N64" s="847" t="s">
        <v>668</v>
      </c>
      <c r="O64" s="21"/>
      <c r="P64" s="21"/>
      <c r="Q64" s="21"/>
      <c r="R64" s="21"/>
      <c r="S64" s="21"/>
      <c r="T64" s="21"/>
      <c r="U64" s="21"/>
      <c r="V64" s="21"/>
    </row>
    <row r="65" spans="1:22" ht="30" customHeight="1" x14ac:dyDescent="0.25">
      <c r="A65" s="540">
        <f>A63+1</f>
        <v>25</v>
      </c>
      <c r="B65" s="339" t="s">
        <v>41</v>
      </c>
      <c r="C65" s="349" t="s">
        <v>1016</v>
      </c>
      <c r="D65" s="500">
        <f t="shared" si="0"/>
        <v>524</v>
      </c>
      <c r="E65" s="427" t="s">
        <v>171</v>
      </c>
      <c r="F65" s="758" t="s">
        <v>285</v>
      </c>
      <c r="G65" s="924"/>
      <c r="H65" s="922" t="s">
        <v>2630</v>
      </c>
      <c r="I65" s="923"/>
      <c r="J65" s="198" t="str">
        <f>IF(F65="","Belum Terisi",IF(AND($F$63="Tidak Ada",F65="Ada"),"CEK",""))</f>
        <v/>
      </c>
      <c r="K65" s="31" t="str">
        <f>IF(J65="CEK",$F$63&amp;" Kelompok/ Organisasi/ Lembaga Penanggulanan Bencana","")</f>
        <v/>
      </c>
      <c r="L65" s="43"/>
      <c r="M65" s="21"/>
      <c r="N65" s="847" t="s">
        <v>668</v>
      </c>
      <c r="O65" s="21"/>
      <c r="P65" s="21"/>
      <c r="Q65" s="21"/>
      <c r="R65" s="21"/>
      <c r="S65" s="21"/>
      <c r="T65" s="21"/>
      <c r="U65" s="21"/>
      <c r="V65" s="21"/>
    </row>
    <row r="66" spans="1:22" ht="40.15" customHeight="1" x14ac:dyDescent="0.25">
      <c r="A66" s="542"/>
      <c r="B66" s="344" t="s">
        <v>139</v>
      </c>
      <c r="C66" s="349" t="s">
        <v>1017</v>
      </c>
      <c r="D66" s="500">
        <f t="shared" si="0"/>
        <v>525</v>
      </c>
      <c r="E66" s="427" t="s">
        <v>171</v>
      </c>
      <c r="F66" s="758" t="s">
        <v>285</v>
      </c>
      <c r="G66" s="924"/>
      <c r="H66" s="922" t="s">
        <v>2631</v>
      </c>
      <c r="I66" s="923"/>
      <c r="J66" s="198" t="str">
        <f>IF(F66="","Belum Terisi",IF(AND($F$63="Tidak Ada",F66="Ada"),"CEK",""))</f>
        <v/>
      </c>
      <c r="K66" s="31" t="str">
        <f>IF(J66="CEK",$F$63&amp;" Kelompok/ Organisasi/ Lembaga Penanggulanan Bencana","")</f>
        <v/>
      </c>
      <c r="L66" s="43"/>
      <c r="M66" s="21"/>
      <c r="N66" s="847" t="s">
        <v>668</v>
      </c>
      <c r="O66" s="21"/>
      <c r="P66" s="21"/>
      <c r="Q66" s="21"/>
      <c r="R66" s="21"/>
      <c r="S66" s="21"/>
      <c r="T66" s="21"/>
      <c r="U66" s="21"/>
      <c r="V66" s="21"/>
    </row>
    <row r="67" spans="1:22" ht="40.15" customHeight="1" x14ac:dyDescent="0.25">
      <c r="A67" s="644"/>
      <c r="B67" s="351" t="s">
        <v>251</v>
      </c>
      <c r="C67" s="349" t="s">
        <v>1018</v>
      </c>
      <c r="D67" s="500">
        <f t="shared" si="0"/>
        <v>526</v>
      </c>
      <c r="E67" s="427" t="s">
        <v>171</v>
      </c>
      <c r="F67" s="712" t="s">
        <v>263</v>
      </c>
      <c r="G67" s="924"/>
      <c r="H67" s="922" t="s">
        <v>2632</v>
      </c>
      <c r="I67" s="923"/>
      <c r="J67" s="198" t="str">
        <f>IF(F67="","Belum Terisi",IF(AND($F$63="Tidak Ada",F67="Ada"),"CEK",""))</f>
        <v/>
      </c>
      <c r="K67" s="31" t="str">
        <f>IF(J67="CEK",$F$63&amp;" Kelompok/ Organisasi/ Lembaga Penanggulanan Bencana","")</f>
        <v/>
      </c>
      <c r="L67" s="43"/>
      <c r="M67" s="21"/>
      <c r="N67" s="847" t="s">
        <v>668</v>
      </c>
      <c r="O67" s="21"/>
      <c r="P67" s="21"/>
      <c r="Q67" s="21"/>
      <c r="R67" s="21"/>
      <c r="S67" s="21"/>
      <c r="T67" s="21"/>
      <c r="U67" s="21"/>
      <c r="V67" s="21"/>
    </row>
    <row r="68" spans="1:22" ht="30" customHeight="1" x14ac:dyDescent="0.25">
      <c r="A68" s="540">
        <f>A65+1</f>
        <v>26</v>
      </c>
      <c r="B68" s="339" t="s">
        <v>41</v>
      </c>
      <c r="C68" s="348" t="s">
        <v>1011</v>
      </c>
      <c r="D68" s="500">
        <f t="shared" si="0"/>
        <v>527</v>
      </c>
      <c r="E68" s="427" t="s">
        <v>171</v>
      </c>
      <c r="F68" s="757" t="s">
        <v>285</v>
      </c>
      <c r="G68" s="924"/>
      <c r="H68" s="922" t="s">
        <v>2633</v>
      </c>
      <c r="I68" s="923"/>
      <c r="J68" s="198" t="str">
        <f>IF(LEN(F68)&gt;0,"","Belum Terisi")</f>
        <v/>
      </c>
      <c r="K68" s="31"/>
      <c r="L68" s="43"/>
      <c r="M68" s="21"/>
      <c r="N68" s="847" t="s">
        <v>668</v>
      </c>
      <c r="O68" s="21"/>
      <c r="P68" s="21"/>
      <c r="Q68" s="21"/>
      <c r="R68" s="21"/>
      <c r="S68" s="21"/>
      <c r="T68" s="21"/>
      <c r="U68" s="21"/>
      <c r="V68" s="21"/>
    </row>
    <row r="69" spans="1:22" ht="49.9" customHeight="1" x14ac:dyDescent="0.25">
      <c r="A69" s="542"/>
      <c r="B69" s="344" t="s">
        <v>139</v>
      </c>
      <c r="C69" s="348" t="s">
        <v>1012</v>
      </c>
      <c r="D69" s="500">
        <f t="shared" si="0"/>
        <v>528</v>
      </c>
      <c r="E69" s="427" t="s">
        <v>174</v>
      </c>
      <c r="F69" s="856" t="s">
        <v>2793</v>
      </c>
      <c r="G69" s="924"/>
      <c r="H69" s="922" t="s">
        <v>556</v>
      </c>
      <c r="I69" s="923"/>
      <c r="J69" s="198" t="str">
        <f>IF(F69="","Belum Terisi",IF(AND(F68="Tidak Ada",F69&lt;&gt;"-"),"CEK",""))</f>
        <v/>
      </c>
      <c r="K69" s="31" t="str">
        <f>IF(J69="CEK","Tidak Ada Kelompok/Organisasi/Lembaga Lainnya","")</f>
        <v/>
      </c>
      <c r="L69" s="43"/>
      <c r="M69" s="21"/>
      <c r="N69" s="21"/>
      <c r="O69" s="21"/>
      <c r="P69" s="21"/>
      <c r="Q69" s="21"/>
      <c r="R69" s="21"/>
      <c r="S69" s="21"/>
      <c r="T69" s="21"/>
      <c r="U69" s="21"/>
      <c r="V69" s="21"/>
    </row>
    <row r="70" spans="1:22" ht="30" customHeight="1" x14ac:dyDescent="0.25">
      <c r="A70" s="644"/>
      <c r="B70" s="351" t="s">
        <v>251</v>
      </c>
      <c r="C70" s="348" t="s">
        <v>1013</v>
      </c>
      <c r="D70" s="500">
        <f t="shared" si="0"/>
        <v>529</v>
      </c>
      <c r="E70" s="427" t="s">
        <v>70</v>
      </c>
      <c r="F70" s="712">
        <v>4</v>
      </c>
      <c r="G70" s="924"/>
      <c r="H70" s="922" t="s">
        <v>561</v>
      </c>
      <c r="I70" s="923"/>
      <c r="J70" s="198" t="str">
        <f>IF(F70="","Belum Terisi",IF(AND(F68="Tidak Ada",F70&lt;&gt;0),"CEK",IF(AND(F68="ada",F70=0),"CEK","")))</f>
        <v/>
      </c>
      <c r="K70" s="31" t="str">
        <f>IF(AND(J70="CEK",F69="Ada",F70=0),"Terdapat Kelompok/Lembaga/Organisasi Lainnya minimal 1 kali Kegiatan",IF(AND(J70="CEK",F69="tidak ada",F70&lt;&gt;0),"Tidak Ada Kelompok/Lembaga/Organisasi Lainnya",""))</f>
        <v/>
      </c>
      <c r="L70" s="43"/>
      <c r="M70" s="21"/>
      <c r="N70" s="21"/>
      <c r="O70" s="21"/>
      <c r="P70" s="21"/>
      <c r="Q70" s="21"/>
      <c r="R70" s="21"/>
      <c r="S70" s="21"/>
      <c r="T70" s="21"/>
      <c r="U70" s="21"/>
      <c r="V70" s="21"/>
    </row>
    <row r="71" spans="1:22" ht="49.9" customHeight="1" x14ac:dyDescent="0.25">
      <c r="A71" s="540">
        <f>A68+1</f>
        <v>27</v>
      </c>
      <c r="B71" s="339" t="s">
        <v>41</v>
      </c>
      <c r="C71" s="350" t="s">
        <v>996</v>
      </c>
      <c r="D71" s="500">
        <f t="shared" ref="D71:D87" si="2">D70+1</f>
        <v>530</v>
      </c>
      <c r="E71" s="463" t="s">
        <v>33</v>
      </c>
      <c r="F71" s="844">
        <v>10</v>
      </c>
      <c r="G71" s="924"/>
      <c r="H71" s="922" t="s">
        <v>717</v>
      </c>
      <c r="I71" s="923"/>
      <c r="J71" s="198" t="str">
        <f>IF(LEN(F71)&gt;0,"","Belum Terisi")</f>
        <v/>
      </c>
      <c r="K71" s="31"/>
      <c r="L71" s="43"/>
      <c r="M71" s="21"/>
      <c r="N71" s="21"/>
      <c r="O71" s="21"/>
      <c r="P71" s="21"/>
      <c r="Q71" s="21"/>
      <c r="R71" s="21"/>
      <c r="S71" s="21" t="s">
        <v>944</v>
      </c>
      <c r="T71" s="21"/>
      <c r="U71" s="21"/>
      <c r="V71" s="21"/>
    </row>
    <row r="72" spans="1:22" ht="30" customHeight="1" x14ac:dyDescent="0.25">
      <c r="A72" s="541"/>
      <c r="B72" s="344" t="s">
        <v>139</v>
      </c>
      <c r="C72" s="348" t="s">
        <v>997</v>
      </c>
      <c r="D72" s="500">
        <f t="shared" si="2"/>
        <v>531</v>
      </c>
      <c r="E72" s="463" t="s">
        <v>171</v>
      </c>
      <c r="F72" s="764" t="s">
        <v>2628</v>
      </c>
      <c r="G72" s="924"/>
      <c r="H72" s="922"/>
      <c r="I72" s="923"/>
      <c r="J72" s="198" t="str">
        <f>IF(F72="","Belum Terisi",IF(AND(F71=0,F72&lt;&gt;"Tidak Ada"),"CEK",IF(AND(F72="Tidak Ada",F71&lt;&gt;0),"CEK","")))</f>
        <v/>
      </c>
      <c r="K72" s="31" t="str">
        <f>IF(AND(J72="CEK",F71=0),"Tidak Terdapat Pemuda Pelopor Desa",IF(AND(J72="CEK",F71&lt;&gt;0),"Terdapat Pemuda Pelopor Desa",""))</f>
        <v/>
      </c>
      <c r="L72" s="43"/>
      <c r="M72" s="21"/>
      <c r="N72" s="21"/>
      <c r="O72" s="21"/>
      <c r="P72" s="21"/>
      <c r="Q72" s="21"/>
      <c r="R72" s="21"/>
      <c r="S72" s="21" t="s">
        <v>944</v>
      </c>
      <c r="T72" s="21"/>
      <c r="U72" s="21"/>
      <c r="V72" s="21"/>
    </row>
    <row r="73" spans="1:22" ht="30" customHeight="1" x14ac:dyDescent="0.25">
      <c r="A73" s="540">
        <f>A71+1</f>
        <v>28</v>
      </c>
      <c r="B73" s="249" t="s">
        <v>41</v>
      </c>
      <c r="C73" s="347" t="s">
        <v>1019</v>
      </c>
      <c r="D73" s="500">
        <f t="shared" si="2"/>
        <v>532</v>
      </c>
      <c r="E73" s="427" t="s">
        <v>171</v>
      </c>
      <c r="F73" s="693" t="s">
        <v>285</v>
      </c>
      <c r="G73" s="924"/>
      <c r="H73" s="922"/>
      <c r="I73" s="923"/>
      <c r="J73" s="198" t="str">
        <f>IF(LEN(F73)&gt;0,"","Belum Terisi")</f>
        <v/>
      </c>
      <c r="K73" s="31"/>
      <c r="L73" s="43"/>
      <c r="M73" s="21"/>
      <c r="N73" s="21"/>
      <c r="O73" s="21"/>
      <c r="P73" s="21"/>
      <c r="Q73" s="21"/>
      <c r="R73" s="21"/>
      <c r="S73" s="21"/>
      <c r="T73" s="21"/>
      <c r="U73" s="21"/>
      <c r="V73" s="21"/>
    </row>
    <row r="74" spans="1:22" ht="30" customHeight="1" x14ac:dyDescent="0.25">
      <c r="A74" s="552"/>
      <c r="B74" s="249" t="s">
        <v>139</v>
      </c>
      <c r="C74" s="347" t="s">
        <v>1020</v>
      </c>
      <c r="D74" s="500">
        <f t="shared" si="2"/>
        <v>533</v>
      </c>
      <c r="E74" s="427" t="s">
        <v>33</v>
      </c>
      <c r="F74" s="749">
        <v>40</v>
      </c>
      <c r="G74" s="924"/>
      <c r="H74" s="922" t="s">
        <v>213</v>
      </c>
      <c r="I74" s="923"/>
      <c r="J74" s="198" t="str">
        <f>IF(F74="","Belum Terisi",IF(AND(F73="Tidak Ada",F74&lt;&gt;0),"CEK",IF(AND(F73="ada",F74=0),"CEK","")))</f>
        <v/>
      </c>
      <c r="K74" s="31" t="str">
        <f>IF(J74="CEK",F73&amp;" Musyawarah","")</f>
        <v/>
      </c>
      <c r="L74" s="43"/>
      <c r="M74" s="21"/>
      <c r="N74" s="21"/>
      <c r="O74" s="21"/>
      <c r="P74" s="21"/>
      <c r="Q74" s="21"/>
      <c r="R74" s="21"/>
      <c r="S74" s="21"/>
      <c r="T74" s="21"/>
      <c r="U74" s="21"/>
      <c r="V74" s="21"/>
    </row>
    <row r="75" spans="1:22" ht="30" customHeight="1" x14ac:dyDescent="0.25">
      <c r="A75" s="645"/>
      <c r="B75" s="228" t="s">
        <v>251</v>
      </c>
      <c r="C75" s="347" t="s">
        <v>900</v>
      </c>
      <c r="D75" s="500">
        <f t="shared" si="2"/>
        <v>534</v>
      </c>
      <c r="E75" s="436" t="s">
        <v>171</v>
      </c>
      <c r="F75" s="706" t="s">
        <v>285</v>
      </c>
      <c r="G75" s="927"/>
      <c r="H75" s="928">
        <v>0</v>
      </c>
      <c r="I75" s="929"/>
      <c r="J75" s="198" t="str">
        <f>IF(F75="","Belum Terisi",IF(AND('INPUTAN DESA ....'!$F$109=1,F75="Ada"),"CEK",IF(AND('INPUTAN DESA ....'!$F$109=5,COUNTIF($F$75:$F$85,"Tidak Ada")=11),"CEK","")))</f>
        <v/>
      </c>
      <c r="K75" s="31" t="str">
        <f>IF(AND(J75="CEK",'INPUTAN DESA ....'!$F$109=1),"Tidak Ada Unsur Masyarakat Mengikuti Musdes (A 113)",IF(AND(J75="CEK",'INPUTAN DESA ....'!$F$109=5),"Terdapat Unsur Masyarakat Mengikuti Musdes (A 113)",""))</f>
        <v/>
      </c>
      <c r="L75" s="43"/>
      <c r="M75" s="21"/>
      <c r="N75" s="21"/>
      <c r="O75" s="21"/>
      <c r="P75" s="21"/>
      <c r="Q75" s="21"/>
      <c r="R75" s="21"/>
      <c r="S75" s="21"/>
      <c r="T75" s="21"/>
      <c r="U75" s="21"/>
      <c r="V75" s="21"/>
    </row>
    <row r="76" spans="1:22" ht="30" customHeight="1" x14ac:dyDescent="0.25">
      <c r="A76" s="645"/>
      <c r="B76" s="228" t="s">
        <v>255</v>
      </c>
      <c r="C76" s="347" t="s">
        <v>901</v>
      </c>
      <c r="D76" s="500">
        <f t="shared" si="2"/>
        <v>535</v>
      </c>
      <c r="E76" s="436" t="s">
        <v>171</v>
      </c>
      <c r="F76" s="706" t="s">
        <v>285</v>
      </c>
      <c r="G76" s="927"/>
      <c r="H76" s="928">
        <v>1</v>
      </c>
      <c r="I76" s="929"/>
      <c r="J76" s="198" t="str">
        <f>IF(F76="","Belum Terisi",IF(AND('INPUTAN DESA ....'!$F$109=1,F76="Ada"),"CEK",IF(AND('INPUTAN DESA ....'!$F$109=5,COUNTIF($F$75:$F$85,"Tidak Ada")=11),"CEK","")))</f>
        <v/>
      </c>
      <c r="K76" s="31" t="str">
        <f>IF(AND(J76="CEK",'INPUTAN DESA ....'!$F$109=1),"Tidak Ada Unsur Masyarakat Mengikuti Musdes (A 113)",IF(AND(J76="CEK",'INPUTAN DESA ....'!$F$109=5),"Terdapat Unsur Masyarakat Mengikuti Musdes (A 113)",""))</f>
        <v/>
      </c>
      <c r="L76" s="43"/>
      <c r="M76" s="21"/>
      <c r="N76" s="21"/>
      <c r="O76" s="21"/>
      <c r="P76" s="21"/>
      <c r="Q76" s="21"/>
      <c r="R76" s="21"/>
      <c r="S76" s="21"/>
      <c r="T76" s="21"/>
      <c r="U76" s="21"/>
      <c r="V76" s="21"/>
    </row>
    <row r="77" spans="1:22" ht="30" customHeight="1" x14ac:dyDescent="0.25">
      <c r="A77" s="645"/>
      <c r="B77" s="228" t="s">
        <v>252</v>
      </c>
      <c r="C77" s="347" t="s">
        <v>902</v>
      </c>
      <c r="D77" s="500">
        <f t="shared" si="2"/>
        <v>536</v>
      </c>
      <c r="E77" s="436" t="s">
        <v>171</v>
      </c>
      <c r="F77" s="706" t="s">
        <v>285</v>
      </c>
      <c r="G77" s="927"/>
      <c r="H77" s="928">
        <v>2</v>
      </c>
      <c r="I77" s="929"/>
      <c r="J77" s="198" t="str">
        <f>IF(F77="","Belum Terisi",IF(AND('INPUTAN DESA ....'!$F$109=1,F77="Ada"),"CEK",IF(AND('INPUTAN DESA ....'!$F$109=5,COUNTIF($F$75:$F$85,"Tidak Ada")=11),"CEK","")))</f>
        <v/>
      </c>
      <c r="K77" s="31" t="str">
        <f>IF(AND(J77="CEK",'INPUTAN DESA ....'!$F$109=1),"Tidak Ada Unsur Masyarakat Mengikuti Musdes (A 113)",IF(AND(J77="CEK",'INPUTAN DESA ....'!$F$109=5),"Terdapat Unsur Masyarakat Mengikuti Musdes (A 113)",""))</f>
        <v/>
      </c>
      <c r="L77" s="43"/>
      <c r="M77" s="21"/>
      <c r="N77" s="21"/>
      <c r="O77" s="21"/>
      <c r="P77" s="21"/>
      <c r="Q77" s="21"/>
      <c r="R77" s="21"/>
      <c r="S77" s="21"/>
      <c r="T77" s="21"/>
      <c r="U77" s="21"/>
      <c r="V77" s="21"/>
    </row>
    <row r="78" spans="1:22" ht="30" customHeight="1" x14ac:dyDescent="0.25">
      <c r="A78" s="645"/>
      <c r="B78" s="228" t="s">
        <v>253</v>
      </c>
      <c r="C78" s="347" t="s">
        <v>903</v>
      </c>
      <c r="D78" s="500">
        <f t="shared" si="2"/>
        <v>537</v>
      </c>
      <c r="E78" s="436" t="s">
        <v>171</v>
      </c>
      <c r="F78" s="706" t="s">
        <v>285</v>
      </c>
      <c r="G78" s="927"/>
      <c r="H78" s="928">
        <v>3</v>
      </c>
      <c r="I78" s="929"/>
      <c r="J78" s="198" t="str">
        <f>IF(F78="","Belum Terisi",IF(AND('INPUTAN DESA ....'!$F$109=1,F78="Ada"),"CEK",IF(AND('INPUTAN DESA ....'!$F$109=5,COUNTIF($F$75:$F$85,"Tidak Ada")=11),"CEK","")))</f>
        <v/>
      </c>
      <c r="K78" s="31" t="str">
        <f>IF(AND(J78="CEK",'INPUTAN DESA ....'!$F$109=1),"Tidak Ada Unsur Masyarakat Mengikuti Musdes (A 113)",IF(AND(J78="CEK",'INPUTAN DESA ....'!$F$109=5),"Terdapat Unsur Masyarakat Mengikuti Musdes (A 113)",""))</f>
        <v/>
      </c>
      <c r="L78" s="43"/>
      <c r="M78" s="21"/>
      <c r="N78" s="21"/>
      <c r="O78" s="21"/>
      <c r="P78" s="21"/>
      <c r="Q78" s="21"/>
      <c r="R78" s="21"/>
      <c r="S78" s="21"/>
      <c r="T78" s="21"/>
      <c r="U78" s="21"/>
      <c r="V78" s="21"/>
    </row>
    <row r="79" spans="1:22" ht="30" customHeight="1" x14ac:dyDescent="0.25">
      <c r="A79" s="645"/>
      <c r="B79" s="228" t="s">
        <v>254</v>
      </c>
      <c r="C79" s="347" t="s">
        <v>904</v>
      </c>
      <c r="D79" s="500">
        <f t="shared" si="2"/>
        <v>538</v>
      </c>
      <c r="E79" s="436" t="s">
        <v>171</v>
      </c>
      <c r="F79" s="706" t="s">
        <v>285</v>
      </c>
      <c r="G79" s="927"/>
      <c r="H79" s="928">
        <v>4</v>
      </c>
      <c r="I79" s="929"/>
      <c r="J79" s="198" t="str">
        <f>IF(F79="","Belum Terisi",IF(AND('INPUTAN DESA ....'!$F$109=1,F79="Ada"),"CEK",IF(AND('INPUTAN DESA ....'!$F$109=5,COUNTIF($F$75:$F$85,"Tidak Ada")=11),"CEK","")))</f>
        <v/>
      </c>
      <c r="K79" s="31" t="str">
        <f>IF(AND(J79="CEK",'INPUTAN DESA ....'!$F$109=1),"Tidak Ada Unsur Masyarakat Mengikuti Musdes (A 113)",IF(AND(J79="CEK",'INPUTAN DESA ....'!$F$109=5),"Terdapat Unsur Masyarakat Mengikuti Musdes (A 113)",""))</f>
        <v/>
      </c>
      <c r="L79" s="43"/>
      <c r="M79" s="21"/>
      <c r="N79" s="21"/>
      <c r="O79" s="21"/>
      <c r="P79" s="21"/>
      <c r="Q79" s="21"/>
      <c r="R79" s="21"/>
      <c r="S79" s="21"/>
      <c r="T79" s="21"/>
      <c r="U79" s="21"/>
      <c r="V79" s="21"/>
    </row>
    <row r="80" spans="1:22" ht="30" customHeight="1" x14ac:dyDescent="0.25">
      <c r="A80" s="645"/>
      <c r="B80" s="228" t="s">
        <v>256</v>
      </c>
      <c r="C80" s="347" t="s">
        <v>905</v>
      </c>
      <c r="D80" s="500">
        <f t="shared" si="2"/>
        <v>539</v>
      </c>
      <c r="E80" s="436" t="s">
        <v>171</v>
      </c>
      <c r="F80" s="706" t="s">
        <v>263</v>
      </c>
      <c r="G80" s="927"/>
      <c r="H80" s="928">
        <v>5</v>
      </c>
      <c r="I80" s="929"/>
      <c r="J80" s="198" t="str">
        <f>IF(F80="","Belum Terisi",IF(AND('INPUTAN DESA ....'!$F$109=1,F80="Ada"),"CEK",IF(AND('INPUTAN DESA ....'!$F$109=5,COUNTIF($F$75:$F$85,"Tidak Ada")=11),"CEK","")))</f>
        <v/>
      </c>
      <c r="K80" s="31" t="str">
        <f>IF(AND(J80="CEK",'INPUTAN DESA ....'!$F$109=1),"Tidak Ada Unsur Masyarakat Mengikuti Musdes (A 113)",IF(AND(J80="CEK",'INPUTAN DESA ....'!$F$109=5),"Terdapat Unsur Masyarakat Mengikuti Musdes (A 113)",""))</f>
        <v/>
      </c>
      <c r="L80" s="43"/>
      <c r="M80" s="21"/>
      <c r="N80" s="21"/>
      <c r="O80" s="21"/>
      <c r="P80" s="21"/>
      <c r="Q80" s="21"/>
      <c r="R80" s="21"/>
      <c r="S80" s="21"/>
      <c r="T80" s="21"/>
      <c r="U80" s="21"/>
      <c r="V80" s="21"/>
    </row>
    <row r="81" spans="1:22" ht="30" customHeight="1" x14ac:dyDescent="0.25">
      <c r="A81" s="645"/>
      <c r="B81" s="228" t="s">
        <v>257</v>
      </c>
      <c r="C81" s="347" t="s">
        <v>906</v>
      </c>
      <c r="D81" s="500">
        <f t="shared" si="2"/>
        <v>540</v>
      </c>
      <c r="E81" s="436" t="s">
        <v>171</v>
      </c>
      <c r="F81" s="706" t="s">
        <v>263</v>
      </c>
      <c r="G81" s="927"/>
      <c r="H81" s="928"/>
      <c r="I81" s="929"/>
      <c r="J81" s="198" t="str">
        <f>IF(F81="","Belum Terisi",IF(AND('INPUTAN DESA ....'!$F$109=1,F81="Ada"),"CEK",IF(AND('INPUTAN DESA ....'!$F$109=5,COUNTIF($F$75:$F$85,"Tidak Ada")=11),"CEK","")))</f>
        <v/>
      </c>
      <c r="K81" s="31" t="str">
        <f>IF(AND(J81="CEK",'INPUTAN DESA ....'!$F$109=1),"Tidak Ada Unsur Masyarakat Mengikuti Musdes (A 113)",IF(AND(J81="CEK",'INPUTAN DESA ....'!$F$109=5),"Terdapat Unsur Masyarakat Mengikuti Musdes (A 113)",""))</f>
        <v/>
      </c>
      <c r="L81" s="43"/>
      <c r="M81" s="21"/>
      <c r="N81" s="21"/>
      <c r="O81" s="21"/>
      <c r="P81" s="21"/>
      <c r="Q81" s="21"/>
      <c r="R81" s="21"/>
      <c r="S81" s="21"/>
      <c r="T81" s="21"/>
      <c r="U81" s="21"/>
      <c r="V81" s="21"/>
    </row>
    <row r="82" spans="1:22" ht="30" customHeight="1" x14ac:dyDescent="0.25">
      <c r="A82" s="645"/>
      <c r="B82" s="228" t="s">
        <v>259</v>
      </c>
      <c r="C82" s="347" t="s">
        <v>907</v>
      </c>
      <c r="D82" s="500">
        <f t="shared" si="2"/>
        <v>541</v>
      </c>
      <c r="E82" s="436" t="s">
        <v>171</v>
      </c>
      <c r="F82" s="706" t="s">
        <v>285</v>
      </c>
      <c r="G82" s="927"/>
      <c r="H82" s="928"/>
      <c r="I82" s="929"/>
      <c r="J82" s="198" t="str">
        <f>IF(F82="","Belum Terisi",IF(AND('INPUTAN DESA ....'!$F$109=1,F82="Ada"),"CEK",IF(AND('INPUTAN DESA ....'!$F$109=5,COUNTIF($F$75:$F$85,"Tidak Ada")=11),"CEK","")))</f>
        <v/>
      </c>
      <c r="K82" s="31" t="str">
        <f>IF(AND(J82="CEK",'INPUTAN DESA ....'!$F$109=1),"Tidak Ada Unsur Masyarakat Mengikuti Musdes (A 113)",IF(AND(J82="CEK",'INPUTAN DESA ....'!$F$109=5),"Terdapat Unsur Masyarakat Mengikuti Musdes (A 113)",""))</f>
        <v/>
      </c>
      <c r="L82" s="43"/>
      <c r="M82" s="21"/>
      <c r="N82" s="21"/>
      <c r="O82" s="21"/>
      <c r="P82" s="21"/>
      <c r="Q82" s="21"/>
      <c r="R82" s="21"/>
      <c r="S82" s="21"/>
      <c r="T82" s="21"/>
      <c r="U82" s="21"/>
      <c r="V82" s="21"/>
    </row>
    <row r="83" spans="1:22" ht="30" customHeight="1" x14ac:dyDescent="0.25">
      <c r="A83" s="645"/>
      <c r="B83" s="228" t="s">
        <v>260</v>
      </c>
      <c r="C83" s="347" t="s">
        <v>908</v>
      </c>
      <c r="D83" s="500">
        <f t="shared" si="2"/>
        <v>542</v>
      </c>
      <c r="E83" s="436" t="s">
        <v>171</v>
      </c>
      <c r="F83" s="706" t="s">
        <v>263</v>
      </c>
      <c r="G83" s="927"/>
      <c r="H83" s="928"/>
      <c r="I83" s="929"/>
      <c r="J83" s="198" t="str">
        <f>IF(F83="","Belum Terisi",IF(AND('INPUTAN DESA ....'!$F$109=1,F83="Ada"),"CEK",IF(AND('INPUTAN DESA ....'!$F$109=5,COUNTIF($F$75:$F$85,"Tidak Ada")=11),"CEK","")))</f>
        <v/>
      </c>
      <c r="K83" s="31" t="str">
        <f>IF(AND(J83="CEK",'INPUTAN DESA ....'!$F$109=1),"Tidak Ada Unsur Masyarakat Mengikuti Musdes (A 113)",IF(AND(J83="CEK",'INPUTAN DESA ....'!$F$109=5),"Terdapat Unsur Masyarakat Mengikuti Musdes (A 113)",""))</f>
        <v/>
      </c>
      <c r="L83" s="43"/>
      <c r="M83" s="21"/>
      <c r="N83" s="21"/>
      <c r="O83" s="21"/>
      <c r="P83" s="21"/>
      <c r="Q83" s="21"/>
      <c r="R83" s="21"/>
      <c r="S83" s="21"/>
      <c r="T83" s="21"/>
      <c r="U83" s="21"/>
      <c r="V83" s="21"/>
    </row>
    <row r="84" spans="1:22" ht="30" customHeight="1" x14ac:dyDescent="0.25">
      <c r="A84" s="645"/>
      <c r="B84" s="228" t="s">
        <v>575</v>
      </c>
      <c r="C84" s="347" t="s">
        <v>909</v>
      </c>
      <c r="D84" s="500">
        <f t="shared" si="2"/>
        <v>543</v>
      </c>
      <c r="E84" s="436" t="s">
        <v>171</v>
      </c>
      <c r="F84" s="706" t="s">
        <v>263</v>
      </c>
      <c r="G84" s="927"/>
      <c r="H84" s="928"/>
      <c r="I84" s="929"/>
      <c r="J84" s="198" t="str">
        <f>IF(F84="","Belum Terisi",IF(AND('INPUTAN DESA ....'!$F$109=1,F84="Ada"),"CEK",IF(AND('INPUTAN DESA ....'!$F$109=5,COUNTIF($F$75:$F$85,"Tidak Ada")=11),"CEK","")))</f>
        <v/>
      </c>
      <c r="K84" s="31" t="str">
        <f>IF(AND(J84="CEK",'INPUTAN DESA ....'!$F$109=1),"Tidak Ada Unsur Masyarakat Mengikuti Musdes (A 113)",IF(AND(J84="CEK",'INPUTAN DESA ....'!$F$109=5),"Terdapat Unsur Masyarakat Mengikuti Musdes (A 113)",""))</f>
        <v/>
      </c>
      <c r="L84" s="43"/>
      <c r="M84" s="21"/>
      <c r="N84" s="21"/>
      <c r="O84" s="21"/>
      <c r="P84" s="21"/>
      <c r="Q84" s="21"/>
      <c r="R84" s="21"/>
      <c r="S84" s="21"/>
      <c r="T84" s="21"/>
      <c r="U84" s="21"/>
      <c r="V84" s="21"/>
    </row>
    <row r="85" spans="1:22" ht="30" customHeight="1" x14ac:dyDescent="0.25">
      <c r="A85" s="645"/>
      <c r="B85" s="228" t="s">
        <v>576</v>
      </c>
      <c r="C85" s="347" t="s">
        <v>910</v>
      </c>
      <c r="D85" s="500">
        <f t="shared" si="2"/>
        <v>544</v>
      </c>
      <c r="E85" s="436" t="s">
        <v>171</v>
      </c>
      <c r="F85" s="706" t="s">
        <v>285</v>
      </c>
      <c r="G85" s="927"/>
      <c r="H85" s="928"/>
      <c r="I85" s="929"/>
      <c r="J85" s="198" t="str">
        <f>IF(F85="","Belum Terisi",IF(AND('INPUTAN DESA ....'!$F$109=1,F85="Ada"),"CEK",IF(AND('INPUTAN DESA ....'!$F$109=5,COUNTIF($F$75:$F$85,"Tidak Ada")=11),"CEK","")))</f>
        <v/>
      </c>
      <c r="K85" s="31" t="str">
        <f>IF(AND(J85="CEK",'INPUTAN DESA ....'!$F$109=1),"Tidak Ada Unsur Masyarakat Mengikuti Musdes (A 113)",IF(AND(J85="CEK",'INPUTAN DESA ....'!$F$109=5),"Terdapat Unsur Masyarakat Mengikuti Musdes (A 113)",""))</f>
        <v/>
      </c>
      <c r="L85" s="43"/>
      <c r="M85" s="21"/>
      <c r="N85" s="21"/>
      <c r="O85" s="21"/>
      <c r="P85" s="21"/>
      <c r="Q85" s="21"/>
      <c r="R85" s="21"/>
      <c r="S85" s="21"/>
      <c r="T85" s="21"/>
      <c r="U85" s="21"/>
      <c r="V85" s="21"/>
    </row>
    <row r="86" spans="1:22" ht="30" customHeight="1" x14ac:dyDescent="0.25">
      <c r="A86" s="645"/>
      <c r="B86" s="249" t="s">
        <v>1887</v>
      </c>
      <c r="C86" s="347" t="s">
        <v>1888</v>
      </c>
      <c r="D86" s="500">
        <f t="shared" si="2"/>
        <v>545</v>
      </c>
      <c r="E86" s="427" t="s">
        <v>33</v>
      </c>
      <c r="F86" s="845">
        <v>15</v>
      </c>
      <c r="G86" s="924"/>
      <c r="H86" s="922" t="s">
        <v>718</v>
      </c>
      <c r="I86" s="923"/>
      <c r="J86" s="198" t="str">
        <f>IF(F86="","Belum Terisi",IF(AND(F82="Ada",F86=0),"CEK",IF(AND(F82="Tidak Ada",F86&lt;&gt;0),"CEK","")))</f>
        <v/>
      </c>
      <c r="K86" s="31" t="str">
        <f>IF(J86="CEK",F82&amp;" Dihadiri Kelompok Perempuan","")</f>
        <v/>
      </c>
      <c r="L86" s="43"/>
      <c r="M86" s="21"/>
      <c r="N86" s="847" t="s">
        <v>668</v>
      </c>
      <c r="O86" s="21"/>
      <c r="P86" s="21"/>
      <c r="Q86" s="21"/>
      <c r="R86" s="21"/>
      <c r="S86" s="21"/>
      <c r="T86" s="21"/>
      <c r="U86" s="21"/>
      <c r="V86" s="21"/>
    </row>
    <row r="87" spans="1:22" ht="40.15" customHeight="1" x14ac:dyDescent="0.25">
      <c r="A87" s="646"/>
      <c r="B87" s="228" t="s">
        <v>2510</v>
      </c>
      <c r="C87" s="352" t="s">
        <v>225</v>
      </c>
      <c r="D87" s="500">
        <f t="shared" si="2"/>
        <v>546</v>
      </c>
      <c r="E87" s="28" t="s">
        <v>229</v>
      </c>
      <c r="F87" s="765"/>
      <c r="G87" s="924"/>
      <c r="H87" s="922" t="s">
        <v>542</v>
      </c>
      <c r="I87" s="923"/>
      <c r="J87" s="198" t="str">
        <f>IF(LEN(F87)&gt;0,"","Belum Terisi")</f>
        <v>Belum Terisi</v>
      </c>
      <c r="K87" s="31"/>
      <c r="L87" s="43"/>
      <c r="M87" s="21"/>
      <c r="N87" s="847" t="s">
        <v>668</v>
      </c>
      <c r="O87" s="21"/>
      <c r="P87" s="21"/>
      <c r="Q87" s="21"/>
      <c r="R87" s="21"/>
      <c r="S87" s="21"/>
      <c r="T87" s="21"/>
      <c r="U87" s="21"/>
      <c r="V87" s="21"/>
    </row>
    <row r="88" spans="1:22" ht="30" customHeight="1" x14ac:dyDescent="0.25">
      <c r="A88" s="647" t="s">
        <v>1021</v>
      </c>
      <c r="B88" s="226"/>
      <c r="C88" s="226"/>
      <c r="D88" s="503"/>
      <c r="E88" s="429"/>
      <c r="F88" s="714"/>
      <c r="G88" s="924"/>
      <c r="H88" s="922"/>
      <c r="I88" s="923"/>
      <c r="J88" s="199"/>
      <c r="K88" s="31"/>
      <c r="L88" s="31"/>
      <c r="M88" s="21"/>
      <c r="N88" s="21"/>
      <c r="O88" s="21"/>
      <c r="P88" s="21"/>
      <c r="Q88" s="21"/>
      <c r="R88" s="21"/>
      <c r="S88" s="21"/>
      <c r="T88" s="21"/>
      <c r="U88" s="21"/>
      <c r="V88" s="21"/>
    </row>
    <row r="89" spans="1:22" ht="30" customHeight="1" x14ac:dyDescent="0.25">
      <c r="A89" s="648">
        <f>A73+1</f>
        <v>29</v>
      </c>
      <c r="B89" s="226"/>
      <c r="C89" s="352" t="s">
        <v>2778</v>
      </c>
      <c r="D89" s="100">
        <f>D87+1</f>
        <v>547</v>
      </c>
      <c r="E89" s="427" t="s">
        <v>171</v>
      </c>
      <c r="F89" s="699" t="s">
        <v>285</v>
      </c>
      <c r="G89" s="924"/>
      <c r="H89" s="922"/>
      <c r="I89" s="923"/>
      <c r="J89" s="198" t="str">
        <f t="shared" ref="J89:J94" si="3">IF(LEN(F89)&gt;0,"","Belum Terisi")</f>
        <v/>
      </c>
      <c r="K89" s="31"/>
      <c r="L89" s="43"/>
      <c r="M89" s="21"/>
      <c r="N89" s="21"/>
      <c r="O89" s="21"/>
      <c r="P89" s="21"/>
      <c r="Q89" s="21"/>
      <c r="R89" s="21"/>
      <c r="S89" s="21"/>
      <c r="T89" s="21"/>
      <c r="U89" s="21"/>
      <c r="V89" s="21"/>
    </row>
    <row r="90" spans="1:22" ht="40.15" customHeight="1" x14ac:dyDescent="0.25">
      <c r="A90" s="648">
        <f>A89+1</f>
        <v>30</v>
      </c>
      <c r="B90" s="226"/>
      <c r="C90" s="352" t="s">
        <v>227</v>
      </c>
      <c r="D90" s="100">
        <f>D89+1</f>
        <v>548</v>
      </c>
      <c r="E90" s="28" t="s">
        <v>33</v>
      </c>
      <c r="F90" s="846"/>
      <c r="G90" s="924"/>
      <c r="H90" s="922" t="s">
        <v>542</v>
      </c>
      <c r="I90" s="923"/>
      <c r="J90" s="198" t="str">
        <f t="shared" si="3"/>
        <v>Belum Terisi</v>
      </c>
      <c r="K90" s="31"/>
      <c r="L90" s="43"/>
      <c r="M90" s="21"/>
      <c r="N90" s="21"/>
      <c r="O90" s="21"/>
      <c r="P90" s="21"/>
      <c r="Q90" s="21"/>
      <c r="R90" s="21"/>
      <c r="S90" s="21"/>
      <c r="T90" s="21"/>
      <c r="U90" s="21"/>
      <c r="V90" s="21"/>
    </row>
    <row r="91" spans="1:22" ht="30" customHeight="1" x14ac:dyDescent="0.25">
      <c r="A91" s="648">
        <f t="shared" ref="A91:A93" si="4">A90+1</f>
        <v>31</v>
      </c>
      <c r="B91" s="226"/>
      <c r="C91" s="352" t="s">
        <v>226</v>
      </c>
      <c r="D91" s="100">
        <f t="shared" ref="D91:D95" si="5">D90+1</f>
        <v>549</v>
      </c>
      <c r="E91" s="427" t="s">
        <v>33</v>
      </c>
      <c r="F91" s="730">
        <v>11</v>
      </c>
      <c r="G91" s="924"/>
      <c r="H91" s="928" t="s">
        <v>719</v>
      </c>
      <c r="I91" s="923"/>
      <c r="J91" s="198" t="str">
        <f t="shared" si="3"/>
        <v/>
      </c>
      <c r="K91" s="31"/>
      <c r="L91" s="31"/>
      <c r="M91" s="21"/>
      <c r="N91" s="21"/>
      <c r="O91" s="21"/>
      <c r="P91" s="21"/>
      <c r="Q91" s="21"/>
      <c r="R91" s="21"/>
      <c r="S91" s="21"/>
      <c r="T91" s="21"/>
      <c r="U91" s="21"/>
      <c r="V91" s="21"/>
    </row>
    <row r="92" spans="1:22" ht="30" customHeight="1" x14ac:dyDescent="0.25">
      <c r="A92" s="648">
        <f t="shared" si="4"/>
        <v>32</v>
      </c>
      <c r="B92" s="226"/>
      <c r="C92" s="352" t="s">
        <v>105</v>
      </c>
      <c r="D92" s="100">
        <f t="shared" si="5"/>
        <v>550</v>
      </c>
      <c r="E92" s="427" t="s">
        <v>171</v>
      </c>
      <c r="F92" s="699" t="s">
        <v>263</v>
      </c>
      <c r="G92" s="924"/>
      <c r="H92" s="922"/>
      <c r="I92" s="923"/>
      <c r="J92" s="198" t="str">
        <f t="shared" si="3"/>
        <v/>
      </c>
      <c r="K92" s="31"/>
      <c r="L92" s="43"/>
      <c r="M92" s="21"/>
      <c r="N92" s="21" t="s">
        <v>668</v>
      </c>
      <c r="O92" s="21"/>
      <c r="P92" s="21"/>
      <c r="Q92" s="21"/>
      <c r="R92" s="21"/>
      <c r="S92" s="21"/>
      <c r="T92" s="21"/>
      <c r="U92" s="21"/>
      <c r="V92" s="21"/>
    </row>
    <row r="93" spans="1:22" ht="30" customHeight="1" x14ac:dyDescent="0.25">
      <c r="A93" s="539">
        <f t="shared" si="4"/>
        <v>33</v>
      </c>
      <c r="B93" s="353"/>
      <c r="C93" s="352" t="s">
        <v>1022</v>
      </c>
      <c r="D93" s="100">
        <f t="shared" si="5"/>
        <v>551</v>
      </c>
      <c r="E93" s="28" t="s">
        <v>261</v>
      </c>
      <c r="F93" s="687" t="str">
        <f>IF(AND(F94="Tidak Ada",F95=0),"Tidak Ada",F95&amp;" "&amp;F94)</f>
        <v>1 Januari</v>
      </c>
      <c r="G93" s="924"/>
      <c r="H93" s="922"/>
      <c r="I93" s="923"/>
      <c r="J93" s="198" t="str">
        <f t="shared" si="3"/>
        <v/>
      </c>
      <c r="K93" s="31"/>
      <c r="L93" s="31"/>
      <c r="M93" s="21"/>
      <c r="N93" s="21"/>
      <c r="O93" s="21"/>
      <c r="P93" s="21"/>
      <c r="Q93" s="21"/>
      <c r="R93" s="21"/>
      <c r="S93" s="21"/>
      <c r="T93" s="21"/>
      <c r="U93" s="21"/>
      <c r="V93" s="21"/>
    </row>
    <row r="94" spans="1:22" ht="30" customHeight="1" x14ac:dyDescent="0.25">
      <c r="A94" s="552"/>
      <c r="B94" s="228" t="s">
        <v>41</v>
      </c>
      <c r="C94" s="352" t="s">
        <v>1023</v>
      </c>
      <c r="D94" s="100">
        <f t="shared" si="5"/>
        <v>552</v>
      </c>
      <c r="E94" s="427" t="s">
        <v>171</v>
      </c>
      <c r="F94" s="695" t="s">
        <v>936</v>
      </c>
      <c r="G94" s="924"/>
      <c r="H94" s="922" t="s">
        <v>564</v>
      </c>
      <c r="I94" s="923"/>
      <c r="J94" s="198" t="str">
        <f t="shared" si="3"/>
        <v/>
      </c>
      <c r="K94" s="31"/>
      <c r="L94" s="31"/>
      <c r="M94" s="21"/>
      <c r="N94" s="21"/>
      <c r="O94" s="21"/>
      <c r="P94" s="21"/>
      <c r="Q94" s="21"/>
      <c r="R94" s="21"/>
      <c r="S94" s="21"/>
      <c r="T94" s="21"/>
      <c r="U94" s="21"/>
      <c r="V94" s="21"/>
    </row>
    <row r="95" spans="1:22" ht="30" customHeight="1" x14ac:dyDescent="0.25">
      <c r="A95" s="553"/>
      <c r="B95" s="228" t="s">
        <v>139</v>
      </c>
      <c r="C95" s="352" t="s">
        <v>1024</v>
      </c>
      <c r="D95" s="100">
        <f t="shared" si="5"/>
        <v>553</v>
      </c>
      <c r="E95" s="427" t="s">
        <v>174</v>
      </c>
      <c r="F95" s="815">
        <v>1</v>
      </c>
      <c r="G95" s="924"/>
      <c r="H95" s="922" t="s">
        <v>726</v>
      </c>
      <c r="I95" s="923"/>
      <c r="J95" s="198" t="str">
        <f>IF(F95="","Belum Terisi",IF(AND(F94&lt;&gt;"Tidak Ada",F95=0),"CEK",IF(AND(F94="Tidak Ada",F95&lt;&gt;0),"CEK","")))</f>
        <v/>
      </c>
      <c r="K95" s="31" t="str">
        <f>IF(J95="CEK","Isi Tanggal Hari Jadi Desa dengan Benar","")</f>
        <v/>
      </c>
      <c r="L95" s="43"/>
      <c r="M95" s="21"/>
      <c r="N95" s="21"/>
      <c r="O95" s="21"/>
      <c r="P95" s="21"/>
      <c r="Q95" s="21"/>
      <c r="R95" s="21"/>
      <c r="S95" s="21"/>
      <c r="T95" s="21"/>
      <c r="U95" s="21"/>
      <c r="V95" s="21"/>
    </row>
    <row r="96" spans="1:22" ht="30" customHeight="1" x14ac:dyDescent="0.25">
      <c r="A96" s="546" t="s">
        <v>107</v>
      </c>
      <c r="B96" s="224"/>
      <c r="C96" s="221"/>
      <c r="D96" s="428"/>
      <c r="E96" s="429"/>
      <c r="F96" s="714"/>
      <c r="G96" s="924"/>
      <c r="H96" s="922" t="s">
        <v>167</v>
      </c>
      <c r="I96" s="923"/>
      <c r="J96" s="199"/>
      <c r="K96" s="31"/>
      <c r="L96" s="43"/>
      <c r="M96" s="21"/>
      <c r="N96" s="21"/>
      <c r="O96" s="21"/>
      <c r="P96" s="21"/>
      <c r="Q96" s="21"/>
      <c r="R96" s="21"/>
      <c r="S96" s="21"/>
      <c r="T96" s="21"/>
      <c r="U96" s="21"/>
      <c r="V96" s="21"/>
    </row>
    <row r="97" spans="1:22" ht="40.15" customHeight="1" x14ac:dyDescent="0.25">
      <c r="A97" s="540">
        <f>A93+1</f>
        <v>34</v>
      </c>
      <c r="B97" s="228" t="s">
        <v>41</v>
      </c>
      <c r="C97" s="352" t="s">
        <v>108</v>
      </c>
      <c r="D97" s="100">
        <f>D95+1</f>
        <v>554</v>
      </c>
      <c r="E97" s="427" t="s">
        <v>171</v>
      </c>
      <c r="F97" s="693" t="s">
        <v>285</v>
      </c>
      <c r="G97" s="924"/>
      <c r="H97" s="922" t="s">
        <v>727</v>
      </c>
      <c r="I97" s="923"/>
      <c r="J97" s="198" t="str">
        <f>IF(LEN(F97)&gt;0,"","Belum Terisi")</f>
        <v/>
      </c>
      <c r="K97" s="31"/>
      <c r="L97" s="43"/>
      <c r="M97" s="21"/>
      <c r="N97" s="847" t="s">
        <v>668</v>
      </c>
      <c r="O97" s="21"/>
      <c r="P97" s="21"/>
      <c r="Q97" s="21"/>
      <c r="R97" s="21"/>
      <c r="S97" s="21"/>
      <c r="T97" s="21"/>
      <c r="U97" s="21"/>
      <c r="V97" s="21"/>
    </row>
    <row r="98" spans="1:22" ht="30" customHeight="1" x14ac:dyDescent="0.25">
      <c r="A98" s="552"/>
      <c r="B98" s="228" t="s">
        <v>139</v>
      </c>
      <c r="C98" s="352" t="s">
        <v>109</v>
      </c>
      <c r="D98" s="100">
        <f t="shared" ref="D98:D113" si="6">D97+1</f>
        <v>555</v>
      </c>
      <c r="E98" s="427" t="s">
        <v>171</v>
      </c>
      <c r="F98" s="694" t="s">
        <v>726</v>
      </c>
      <c r="G98" s="924"/>
      <c r="H98" s="922" t="s">
        <v>556</v>
      </c>
      <c r="I98" s="923"/>
      <c r="J98" s="198" t="str">
        <f>IF(F98="","Belum Terisi",IF(AND($F$97="Ada",F98="Tidak Ada"),"CEK",IF(AND($F$97="Tidak Ada",F98&lt;&gt;"Tidak Ada"),"CEK","")))</f>
        <v/>
      </c>
      <c r="K98" s="31" t="str">
        <f>IF(J98="CEK",$F$97&amp;" Pelaksanaan Pendampingan Masyarakat di Luar dari PLD","")</f>
        <v/>
      </c>
      <c r="L98" s="31"/>
      <c r="M98" s="21"/>
      <c r="N98" s="21"/>
      <c r="O98" s="21"/>
      <c r="P98" s="21"/>
      <c r="Q98" s="21"/>
      <c r="R98" s="21"/>
      <c r="S98" s="21"/>
      <c r="T98" s="21"/>
      <c r="U98" s="21"/>
      <c r="V98" s="21"/>
    </row>
    <row r="99" spans="1:22" ht="30" customHeight="1" x14ac:dyDescent="0.25">
      <c r="A99" s="552"/>
      <c r="B99" s="228" t="s">
        <v>251</v>
      </c>
      <c r="C99" s="352" t="s">
        <v>110</v>
      </c>
      <c r="D99" s="100">
        <f t="shared" si="6"/>
        <v>556</v>
      </c>
      <c r="E99" s="427" t="s">
        <v>174</v>
      </c>
      <c r="F99" s="791" t="s">
        <v>2794</v>
      </c>
      <c r="G99" s="924"/>
      <c r="H99" s="922"/>
      <c r="I99" s="923"/>
      <c r="J99" s="198" t="str">
        <f>IF(F99="","Belum Terisi",IF(AND(F97="Tidak Ada",F99&lt;&gt;"-"),"CEK",IF(AND(F97="Ada",F98="lainnya",F99="-"),"CEK","")))</f>
        <v/>
      </c>
      <c r="K99" s="31" t="str">
        <f>IF(J99="CEK",F97&amp;" Pendampingan Masyarakat di Luar PLD","")</f>
        <v/>
      </c>
      <c r="L99" s="43"/>
      <c r="M99" s="21"/>
      <c r="N99" s="21"/>
      <c r="O99" s="21"/>
      <c r="P99" s="21"/>
      <c r="Q99" s="21"/>
      <c r="R99" s="21"/>
      <c r="S99" s="21"/>
      <c r="T99" s="21"/>
      <c r="U99" s="21"/>
      <c r="V99" s="21"/>
    </row>
    <row r="100" spans="1:22" ht="30" customHeight="1" x14ac:dyDescent="0.25">
      <c r="A100" s="552"/>
      <c r="B100" s="228" t="s">
        <v>255</v>
      </c>
      <c r="C100" s="352" t="s">
        <v>111</v>
      </c>
      <c r="D100" s="100">
        <f t="shared" si="6"/>
        <v>557</v>
      </c>
      <c r="E100" s="427" t="s">
        <v>171</v>
      </c>
      <c r="F100" s="694" t="s">
        <v>728</v>
      </c>
      <c r="G100" s="924"/>
      <c r="H100" s="922" t="s">
        <v>728</v>
      </c>
      <c r="I100" s="923"/>
      <c r="J100" s="198" t="str">
        <f>IF(F100="","Belum Terisi",IF(AND($F$97="Ada",F100="Tidak Ada"),"CEK",IF(AND($F$97="Tidak Ada",F100&lt;&gt;"Tidak Ada"),"CEK","")))</f>
        <v/>
      </c>
      <c r="K100" s="31" t="str">
        <f>IF(J100="CEK",$F$97&amp;" Pelaksanaan Pendampingan Masyarakat di Luar dari PLD","")</f>
        <v/>
      </c>
      <c r="L100" s="43"/>
      <c r="M100" s="21"/>
      <c r="N100" s="21"/>
      <c r="O100" s="21"/>
      <c r="P100" s="21"/>
      <c r="Q100" s="21"/>
      <c r="R100" s="21"/>
      <c r="S100" s="21"/>
      <c r="T100" s="21"/>
      <c r="U100" s="21"/>
      <c r="V100" s="21"/>
    </row>
    <row r="101" spans="1:22" ht="30" customHeight="1" x14ac:dyDescent="0.25">
      <c r="A101" s="553"/>
      <c r="B101" s="228" t="s">
        <v>252</v>
      </c>
      <c r="C101" s="352" t="s">
        <v>112</v>
      </c>
      <c r="D101" s="100">
        <f t="shared" si="6"/>
        <v>558</v>
      </c>
      <c r="E101" s="427" t="s">
        <v>171</v>
      </c>
      <c r="F101" s="694" t="s">
        <v>541</v>
      </c>
      <c r="G101" s="924"/>
      <c r="H101" s="922" t="s">
        <v>729</v>
      </c>
      <c r="I101" s="923"/>
      <c r="J101" s="198" t="str">
        <f>IF(F101="","Belum Terisi",IF(AND($F$97="Ada",F101=0),"CEK",IF(AND($F$97="Tidak Ada",F101&lt;&gt;0),"CEK","")))</f>
        <v/>
      </c>
      <c r="K101" s="31" t="str">
        <f>IF(J101="CEK",$F$97&amp;" Pelaksanaan Pendampingan Masyarakat di Luar dari PLD","")</f>
        <v/>
      </c>
      <c r="L101" s="43"/>
      <c r="M101" s="21"/>
      <c r="N101" s="21"/>
      <c r="O101" s="21"/>
      <c r="P101" s="21"/>
      <c r="Q101" s="21"/>
      <c r="R101" s="21"/>
      <c r="S101" s="21"/>
      <c r="T101" s="21"/>
      <c r="U101" s="21"/>
      <c r="V101" s="21"/>
    </row>
    <row r="102" spans="1:22" ht="30" customHeight="1" x14ac:dyDescent="0.25">
      <c r="A102" s="540">
        <f>A97+1</f>
        <v>35</v>
      </c>
      <c r="B102" s="228" t="s">
        <v>41</v>
      </c>
      <c r="C102" s="352" t="s">
        <v>1025</v>
      </c>
      <c r="D102" s="100">
        <f t="shared" si="6"/>
        <v>559</v>
      </c>
      <c r="E102" s="427" t="s">
        <v>171</v>
      </c>
      <c r="F102" s="693" t="s">
        <v>285</v>
      </c>
      <c r="G102" s="924"/>
      <c r="H102" s="922" t="s">
        <v>730</v>
      </c>
      <c r="I102" s="923"/>
      <c r="J102" s="198" t="str">
        <f t="shared" ref="J102:J106" si="7">IF(F102="","Belum Terisi",IF(AND($F$97="Tidak Ada",F102="Ada"),"CEK",IF(AND($F$97="Ada",COUNTIF($F$102:$F$106,"Tidak Ada")=5,$F$107="-"),"CEK","")))</f>
        <v/>
      </c>
      <c r="K102" s="31" t="str">
        <f t="shared" ref="K102:K107" si="8">IF(AND(J102="CEK",$F$97="Ada"),"Ada Pelaksanaan Pendampingan Masyarakat diluar dari PLD",IF(AND(J102="CEK",$F$97="Tidak Ada"),"Tidak Ada Pelaksanaan Pendampingan Masyarakat diluar dari PLD",""))</f>
        <v/>
      </c>
      <c r="L102" s="31"/>
      <c r="M102" s="21"/>
      <c r="N102" s="21"/>
      <c r="O102" s="21"/>
      <c r="P102" s="21"/>
      <c r="Q102" s="21"/>
      <c r="R102" s="21"/>
      <c r="S102" s="21"/>
      <c r="T102" s="21"/>
      <c r="U102" s="21"/>
      <c r="V102" s="21"/>
    </row>
    <row r="103" spans="1:22" ht="30" customHeight="1" x14ac:dyDescent="0.25">
      <c r="A103" s="552"/>
      <c r="B103" s="228" t="s">
        <v>139</v>
      </c>
      <c r="C103" s="352" t="s">
        <v>1026</v>
      </c>
      <c r="D103" s="100">
        <f t="shared" si="6"/>
        <v>560</v>
      </c>
      <c r="E103" s="427" t="s">
        <v>171</v>
      </c>
      <c r="F103" s="694" t="s">
        <v>285</v>
      </c>
      <c r="G103" s="924"/>
      <c r="H103" s="922"/>
      <c r="I103" s="923"/>
      <c r="J103" s="198" t="str">
        <f t="shared" si="7"/>
        <v/>
      </c>
      <c r="K103" s="31" t="str">
        <f t="shared" si="8"/>
        <v/>
      </c>
      <c r="L103" s="43"/>
      <c r="M103" s="21"/>
      <c r="N103" s="847" t="s">
        <v>668</v>
      </c>
      <c r="O103" s="21"/>
      <c r="P103" s="21"/>
      <c r="Q103" s="21"/>
      <c r="R103" s="21"/>
      <c r="S103" s="21"/>
      <c r="T103" s="21"/>
      <c r="U103" s="21"/>
      <c r="V103" s="21"/>
    </row>
    <row r="104" spans="1:22" ht="30" customHeight="1" x14ac:dyDescent="0.25">
      <c r="A104" s="552"/>
      <c r="B104" s="228" t="s">
        <v>251</v>
      </c>
      <c r="C104" s="352" t="s">
        <v>1027</v>
      </c>
      <c r="D104" s="100">
        <f t="shared" si="6"/>
        <v>561</v>
      </c>
      <c r="E104" s="427" t="s">
        <v>171</v>
      </c>
      <c r="F104" s="694" t="s">
        <v>285</v>
      </c>
      <c r="G104" s="924"/>
      <c r="H104" s="922" t="s">
        <v>540</v>
      </c>
      <c r="I104" s="923"/>
      <c r="J104" s="198" t="str">
        <f t="shared" si="7"/>
        <v/>
      </c>
      <c r="K104" s="31" t="str">
        <f t="shared" si="8"/>
        <v/>
      </c>
      <c r="L104" s="43"/>
      <c r="M104" s="21"/>
      <c r="N104" s="847" t="s">
        <v>668</v>
      </c>
      <c r="O104" s="21"/>
      <c r="P104" s="21"/>
      <c r="Q104" s="21"/>
      <c r="R104" s="21"/>
      <c r="S104" s="21"/>
      <c r="T104" s="21"/>
      <c r="U104" s="21"/>
      <c r="V104" s="21"/>
    </row>
    <row r="105" spans="1:22" ht="30" customHeight="1" x14ac:dyDescent="0.25">
      <c r="A105" s="552"/>
      <c r="B105" s="228" t="s">
        <v>255</v>
      </c>
      <c r="C105" s="352" t="s">
        <v>1028</v>
      </c>
      <c r="D105" s="100">
        <f t="shared" si="6"/>
        <v>562</v>
      </c>
      <c r="E105" s="427" t="s">
        <v>171</v>
      </c>
      <c r="F105" s="694" t="s">
        <v>263</v>
      </c>
      <c r="G105" s="924"/>
      <c r="H105" s="922" t="s">
        <v>541</v>
      </c>
      <c r="I105" s="923"/>
      <c r="J105" s="198" t="str">
        <f t="shared" si="7"/>
        <v/>
      </c>
      <c r="K105" s="31" t="str">
        <f t="shared" si="8"/>
        <v/>
      </c>
      <c r="L105" s="43"/>
      <c r="M105" s="21"/>
      <c r="N105" s="21"/>
      <c r="O105" s="21"/>
      <c r="P105" s="21"/>
      <c r="Q105" s="21"/>
      <c r="R105" s="21"/>
      <c r="S105" s="21"/>
      <c r="T105" s="21"/>
      <c r="U105" s="21"/>
      <c r="V105" s="21"/>
    </row>
    <row r="106" spans="1:22" ht="30" customHeight="1" x14ac:dyDescent="0.25">
      <c r="A106" s="552"/>
      <c r="B106" s="228" t="s">
        <v>252</v>
      </c>
      <c r="C106" s="352" t="s">
        <v>1029</v>
      </c>
      <c r="D106" s="100">
        <f t="shared" si="6"/>
        <v>563</v>
      </c>
      <c r="E106" s="427" t="s">
        <v>171</v>
      </c>
      <c r="F106" s="694" t="s">
        <v>263</v>
      </c>
      <c r="G106" s="924"/>
      <c r="H106" s="922" t="s">
        <v>544</v>
      </c>
      <c r="I106" s="923"/>
      <c r="J106" s="198" t="str">
        <f t="shared" si="7"/>
        <v/>
      </c>
      <c r="K106" s="31" t="str">
        <f t="shared" si="8"/>
        <v/>
      </c>
      <c r="L106" s="31"/>
      <c r="M106" s="21"/>
      <c r="N106" s="847" t="s">
        <v>668</v>
      </c>
      <c r="O106" s="21"/>
      <c r="P106" s="21"/>
      <c r="Q106" s="21"/>
      <c r="R106" s="21"/>
      <c r="S106" s="21"/>
      <c r="T106" s="21"/>
      <c r="U106" s="21"/>
      <c r="V106" s="21"/>
    </row>
    <row r="107" spans="1:22" ht="30" customHeight="1" x14ac:dyDescent="0.25">
      <c r="A107" s="553"/>
      <c r="B107" s="228" t="s">
        <v>253</v>
      </c>
      <c r="C107" s="352" t="s">
        <v>2779</v>
      </c>
      <c r="D107" s="100">
        <f t="shared" si="6"/>
        <v>564</v>
      </c>
      <c r="E107" s="427" t="s">
        <v>174</v>
      </c>
      <c r="F107" s="791" t="s">
        <v>240</v>
      </c>
      <c r="G107" s="924"/>
      <c r="H107" s="922" t="s">
        <v>731</v>
      </c>
      <c r="I107" s="923"/>
      <c r="J107" s="198" t="str">
        <f>IF(F107="","Belum Terisi",IF(AND($F$97="Tidak Ada",F107&lt;&gt;"-"),"CEK",IF(AND($F$97="Ada",COUNTIF($F$102:$F$106,"Tidak Ada")=5,$F$107="-"),"CEK","")))</f>
        <v/>
      </c>
      <c r="K107" s="31" t="str">
        <f t="shared" si="8"/>
        <v/>
      </c>
      <c r="L107" s="43"/>
      <c r="M107" s="21"/>
      <c r="N107" s="847" t="s">
        <v>668</v>
      </c>
      <c r="O107" s="21"/>
      <c r="P107" s="21"/>
      <c r="Q107" s="21"/>
      <c r="R107" s="21"/>
      <c r="S107" s="21"/>
      <c r="T107" s="21"/>
      <c r="U107" s="21"/>
      <c r="V107" s="21"/>
    </row>
    <row r="108" spans="1:22" ht="30" customHeight="1" x14ac:dyDescent="0.25">
      <c r="A108" s="538">
        <f>A102+1</f>
        <v>36</v>
      </c>
      <c r="B108" s="226"/>
      <c r="C108" s="352" t="s">
        <v>113</v>
      </c>
      <c r="D108" s="100">
        <f t="shared" si="6"/>
        <v>565</v>
      </c>
      <c r="E108" s="427" t="s">
        <v>114</v>
      </c>
      <c r="F108" s="718">
        <v>1</v>
      </c>
      <c r="G108" s="924"/>
      <c r="H108" s="928" t="s">
        <v>732</v>
      </c>
      <c r="I108" s="923"/>
      <c r="J108" s="198" t="str">
        <f>IF(F108="","Belum Terisi",IF(AND(F97="ada",F108=0),"CEK",IF(AND(F97="Tidak Ada",F108&lt;&gt;0),"CEK","")))</f>
        <v/>
      </c>
      <c r="K108" s="31" t="str">
        <f>IF(J108="CEK",F97&amp;" Pendampingan Masyarakat diluar PLD","")</f>
        <v/>
      </c>
      <c r="L108" s="43"/>
      <c r="M108" s="21"/>
      <c r="N108" s="21"/>
      <c r="O108" s="21"/>
      <c r="P108" s="21"/>
      <c r="Q108" s="21"/>
      <c r="R108" s="21"/>
      <c r="S108" s="21"/>
      <c r="T108" s="21"/>
      <c r="U108" s="21"/>
      <c r="V108" s="21"/>
    </row>
    <row r="109" spans="1:22" ht="30" customHeight="1" x14ac:dyDescent="0.25">
      <c r="A109" s="540">
        <f>A108+1</f>
        <v>37</v>
      </c>
      <c r="B109" s="228" t="s">
        <v>41</v>
      </c>
      <c r="C109" s="352" t="s">
        <v>115</v>
      </c>
      <c r="D109" s="100">
        <f t="shared" si="6"/>
        <v>566</v>
      </c>
      <c r="E109" s="427" t="s">
        <v>171</v>
      </c>
      <c r="F109" s="693" t="s">
        <v>541</v>
      </c>
      <c r="G109" s="954"/>
      <c r="H109" s="923">
        <v>0</v>
      </c>
      <c r="I109" s="923"/>
      <c r="J109" s="198" t="str">
        <f>IF(F109="","Belum Terisi",IF(AND($F$97="Tidak Ada",F109&lt;&gt;0),"CEK",""))</f>
        <v/>
      </c>
      <c r="K109" s="31" t="str">
        <f>IF(J109="CEK","Tidak Ada Pelaksanaan Pendapmpingan Masyarakat dari Luar PLD","")</f>
        <v/>
      </c>
      <c r="L109" s="43"/>
      <c r="M109" s="21"/>
      <c r="N109" s="21"/>
      <c r="O109" s="21"/>
      <c r="P109" s="21"/>
      <c r="Q109" s="21"/>
      <c r="R109" s="21"/>
      <c r="S109" s="21"/>
      <c r="T109" s="21"/>
      <c r="U109" s="21"/>
      <c r="V109" s="21"/>
    </row>
    <row r="110" spans="1:22" ht="30" customHeight="1" x14ac:dyDescent="0.25">
      <c r="A110" s="552"/>
      <c r="B110" s="228" t="s">
        <v>139</v>
      </c>
      <c r="C110" s="352" t="s">
        <v>116</v>
      </c>
      <c r="D110" s="100">
        <f t="shared" si="6"/>
        <v>567</v>
      </c>
      <c r="E110" s="427" t="s">
        <v>171</v>
      </c>
      <c r="F110" s="694">
        <v>2</v>
      </c>
      <c r="G110" s="954"/>
      <c r="H110" s="923">
        <v>1</v>
      </c>
      <c r="I110" s="923"/>
      <c r="J110" s="198" t="str">
        <f>IF(F110="","Belum Terisi",IF(AND($F$97="Tidak Ada",F110&lt;&gt;0),"CEK",""))</f>
        <v/>
      </c>
      <c r="K110" s="31" t="str">
        <f>IF(J110="CEK","Tidak Ada Pelaksanaan Pendapmpingan Masyarakat dari Luar PLD","")</f>
        <v/>
      </c>
      <c r="L110" s="31"/>
      <c r="M110" s="21"/>
      <c r="N110" s="21"/>
      <c r="O110" s="21"/>
      <c r="P110" s="21"/>
      <c r="Q110" s="21"/>
      <c r="R110" s="21"/>
      <c r="S110" s="21"/>
      <c r="T110" s="21"/>
      <c r="U110" s="21"/>
      <c r="V110" s="21"/>
    </row>
    <row r="111" spans="1:22" ht="49.9" customHeight="1" x14ac:dyDescent="0.25">
      <c r="A111" s="553"/>
      <c r="B111" s="228" t="s">
        <v>251</v>
      </c>
      <c r="C111" s="352" t="s">
        <v>224</v>
      </c>
      <c r="D111" s="100">
        <f t="shared" si="6"/>
        <v>568</v>
      </c>
      <c r="E111" s="427" t="s">
        <v>174</v>
      </c>
      <c r="F111" s="791" t="s">
        <v>240</v>
      </c>
      <c r="G111" s="954"/>
      <c r="H111" s="923">
        <v>2</v>
      </c>
      <c r="I111" s="923"/>
      <c r="J111" s="198" t="str">
        <f>IF(LEN(F111)&gt;0,"","Belum Terisi")</f>
        <v/>
      </c>
      <c r="K111" s="31"/>
      <c r="L111" s="43"/>
      <c r="M111" s="21"/>
      <c r="N111" s="21"/>
      <c r="O111" s="21"/>
      <c r="P111" s="21"/>
      <c r="Q111" s="21"/>
      <c r="R111" s="21"/>
      <c r="S111" s="21"/>
      <c r="T111" s="21"/>
      <c r="U111" s="21"/>
      <c r="V111" s="21"/>
    </row>
    <row r="112" spans="1:22" ht="30" customHeight="1" x14ac:dyDescent="0.25">
      <c r="A112" s="538">
        <f>A109+1</f>
        <v>38</v>
      </c>
      <c r="B112" s="226"/>
      <c r="C112" s="352" t="s">
        <v>117</v>
      </c>
      <c r="D112" s="100">
        <f t="shared" si="6"/>
        <v>569</v>
      </c>
      <c r="E112" s="427" t="s">
        <v>171</v>
      </c>
      <c r="F112" s="693" t="s">
        <v>541</v>
      </c>
      <c r="G112" s="954"/>
      <c r="H112" s="923">
        <v>3</v>
      </c>
      <c r="I112" s="923"/>
      <c r="J112" s="198" t="str">
        <f>IF(F112="","Belum Terisi",IF(AND($F$97="Tidak Ada",F112&lt;&gt;0),"CEK",IF(AND($F$97="Ada",F112=0),"CEK","")))</f>
        <v/>
      </c>
      <c r="K112" s="31" t="str">
        <f>IF(J112="CEK",$F$97&amp;" Pelaksanaan Pendapmpingan Masyarakat dari Luar PLD","")</f>
        <v/>
      </c>
      <c r="L112" s="43"/>
      <c r="M112" s="21"/>
      <c r="N112" s="21"/>
      <c r="O112" s="21"/>
      <c r="P112" s="21"/>
      <c r="Q112" s="21"/>
      <c r="R112" s="21"/>
      <c r="S112" s="21"/>
      <c r="T112" s="21"/>
      <c r="U112" s="21"/>
      <c r="V112" s="21"/>
    </row>
    <row r="113" spans="1:22" ht="30" customHeight="1" x14ac:dyDescent="0.25">
      <c r="A113" s="538">
        <f>A112+1</f>
        <v>39</v>
      </c>
      <c r="B113" s="226"/>
      <c r="C113" s="352" t="s">
        <v>118</v>
      </c>
      <c r="D113" s="100">
        <f t="shared" si="6"/>
        <v>570</v>
      </c>
      <c r="E113" s="427" t="s">
        <v>171</v>
      </c>
      <c r="F113" s="699" t="s">
        <v>544</v>
      </c>
      <c r="G113" s="954"/>
      <c r="H113" s="923">
        <v>4</v>
      </c>
      <c r="I113" s="923"/>
      <c r="J113" s="198" t="str">
        <f>IF(F113="","Belum Terisi",IF(AND($F$97="Tidak Ada",F113&lt;&gt;0),"CEK",IF(AND($F$97="Ada",F113=0),"CEK","")))</f>
        <v/>
      </c>
      <c r="K113" s="31" t="str">
        <f>IF(J113="CEK",$F$97&amp;" Pelaksanaan Pendapmpingan Masyarakat dari Luar PLD","")</f>
        <v/>
      </c>
      <c r="L113" s="43"/>
      <c r="M113" s="21"/>
      <c r="N113" s="21"/>
      <c r="O113" s="21"/>
      <c r="P113" s="21"/>
      <c r="Q113" s="21"/>
      <c r="R113" s="21"/>
      <c r="S113" s="21"/>
      <c r="T113" s="21"/>
      <c r="U113" s="21"/>
      <c r="V113" s="21"/>
    </row>
    <row r="114" spans="1:22" ht="30" customHeight="1" x14ac:dyDescent="0.25">
      <c r="A114" s="546" t="s">
        <v>222</v>
      </c>
      <c r="B114" s="224"/>
      <c r="C114" s="221"/>
      <c r="D114" s="488"/>
      <c r="E114" s="488"/>
      <c r="F114" s="714"/>
      <c r="G114" s="924"/>
      <c r="H114" s="923">
        <v>5</v>
      </c>
      <c r="I114" s="923"/>
      <c r="J114" s="199"/>
      <c r="K114" s="31"/>
      <c r="L114" s="31"/>
      <c r="M114" s="21"/>
      <c r="N114" s="21"/>
      <c r="O114" s="21"/>
      <c r="P114" s="21"/>
      <c r="Q114" s="21"/>
      <c r="R114" s="21"/>
      <c r="S114" s="21"/>
      <c r="T114" s="21"/>
      <c r="U114" s="21"/>
      <c r="V114" s="21"/>
    </row>
    <row r="115" spans="1:22" ht="40.15" customHeight="1" x14ac:dyDescent="0.25">
      <c r="A115" s="538">
        <f>A113+1</f>
        <v>40</v>
      </c>
      <c r="B115" s="228" t="s">
        <v>41</v>
      </c>
      <c r="C115" s="352" t="s">
        <v>223</v>
      </c>
      <c r="D115" s="100">
        <f>D113+1</f>
        <v>571</v>
      </c>
      <c r="E115" s="427" t="s">
        <v>171</v>
      </c>
      <c r="F115" s="693" t="s">
        <v>263</v>
      </c>
      <c r="G115" s="924"/>
      <c r="H115" s="923">
        <v>6</v>
      </c>
      <c r="I115" s="923"/>
      <c r="J115" s="198" t="str">
        <f>IF(LEN(F115)&gt;0,"","Belum Terisi")</f>
        <v/>
      </c>
      <c r="K115" s="31"/>
      <c r="L115" s="43"/>
      <c r="M115" s="21"/>
      <c r="N115" s="847" t="s">
        <v>668</v>
      </c>
      <c r="O115" s="21"/>
      <c r="P115" s="21"/>
      <c r="Q115" s="21"/>
      <c r="R115" s="21"/>
      <c r="S115" s="21"/>
      <c r="T115" s="21"/>
      <c r="U115" s="21"/>
      <c r="V115" s="21"/>
    </row>
    <row r="116" spans="1:22" ht="30" customHeight="1" x14ac:dyDescent="0.25">
      <c r="A116" s="552"/>
      <c r="B116" s="228" t="s">
        <v>139</v>
      </c>
      <c r="C116" s="352" t="s">
        <v>1030</v>
      </c>
      <c r="D116" s="100">
        <f t="shared" ref="D116:D124" si="9">D115+1</f>
        <v>572</v>
      </c>
      <c r="E116" s="427" t="s">
        <v>171</v>
      </c>
      <c r="F116" s="694" t="s">
        <v>263</v>
      </c>
      <c r="G116" s="924"/>
      <c r="H116" s="923">
        <v>7</v>
      </c>
      <c r="I116" s="923"/>
      <c r="J116" s="198" t="str">
        <f t="shared" ref="J116:J124" si="10">IF(F116="","Belum Terisi",IF(AND($F$115="Tidak Ada",F116="Ada"),"CEK",IF(AND($F$115="Ada",COUNTIF($F$116:$F$124,"Tidak Ada")=9),"CEK","")))</f>
        <v/>
      </c>
      <c r="K116" s="31" t="str">
        <f t="shared" ref="K116:K124" si="11">IF(J116="CEK",$F$115&amp;" Fasilitasi Pihak ke-3 dalam Proses PPMD","")</f>
        <v/>
      </c>
      <c r="L116" s="43"/>
      <c r="M116" s="21"/>
      <c r="N116" s="847" t="s">
        <v>668</v>
      </c>
      <c r="O116" s="21"/>
      <c r="P116" s="21"/>
      <c r="Q116" s="21"/>
      <c r="R116" s="21"/>
      <c r="S116" s="21"/>
      <c r="T116" s="21"/>
      <c r="U116" s="21"/>
      <c r="V116" s="21"/>
    </row>
    <row r="117" spans="1:22" ht="30" customHeight="1" x14ac:dyDescent="0.25">
      <c r="A117" s="552"/>
      <c r="B117" s="228" t="s">
        <v>251</v>
      </c>
      <c r="C117" s="352" t="s">
        <v>1031</v>
      </c>
      <c r="D117" s="100">
        <f t="shared" si="9"/>
        <v>573</v>
      </c>
      <c r="E117" s="427" t="s">
        <v>171</v>
      </c>
      <c r="F117" s="694" t="s">
        <v>263</v>
      </c>
      <c r="G117" s="924"/>
      <c r="H117" s="923">
        <v>8</v>
      </c>
      <c r="I117" s="923"/>
      <c r="J117" s="198" t="str">
        <f t="shared" si="10"/>
        <v/>
      </c>
      <c r="K117" s="31" t="str">
        <f t="shared" si="11"/>
        <v/>
      </c>
      <c r="L117" s="43"/>
      <c r="M117" s="21"/>
      <c r="N117" s="21"/>
      <c r="O117" s="21"/>
      <c r="P117" s="21"/>
      <c r="Q117" s="21"/>
      <c r="R117" s="21"/>
      <c r="S117" s="21"/>
      <c r="T117" s="21"/>
      <c r="U117" s="21"/>
      <c r="V117" s="21"/>
    </row>
    <row r="118" spans="1:22" ht="30" customHeight="1" x14ac:dyDescent="0.25">
      <c r="A118" s="552"/>
      <c r="B118" s="228" t="s">
        <v>255</v>
      </c>
      <c r="C118" s="352" t="s">
        <v>1032</v>
      </c>
      <c r="D118" s="100">
        <f t="shared" si="9"/>
        <v>574</v>
      </c>
      <c r="E118" s="427" t="s">
        <v>171</v>
      </c>
      <c r="F118" s="694" t="s">
        <v>263</v>
      </c>
      <c r="G118" s="924"/>
      <c r="H118" s="922"/>
      <c r="I118" s="923"/>
      <c r="J118" s="198" t="str">
        <f t="shared" si="10"/>
        <v/>
      </c>
      <c r="K118" s="31" t="str">
        <f t="shared" si="11"/>
        <v/>
      </c>
      <c r="L118" s="31"/>
      <c r="M118" s="21"/>
      <c r="N118" s="21"/>
      <c r="O118" s="21"/>
      <c r="P118" s="21"/>
      <c r="Q118" s="21"/>
      <c r="R118" s="21"/>
      <c r="S118" s="21"/>
      <c r="T118" s="21"/>
      <c r="U118" s="21"/>
      <c r="V118" s="21"/>
    </row>
    <row r="119" spans="1:22" ht="30" customHeight="1" x14ac:dyDescent="0.25">
      <c r="A119" s="552"/>
      <c r="B119" s="228" t="s">
        <v>252</v>
      </c>
      <c r="C119" s="352" t="s">
        <v>1033</v>
      </c>
      <c r="D119" s="100">
        <f t="shared" si="9"/>
        <v>575</v>
      </c>
      <c r="E119" s="427" t="s">
        <v>171</v>
      </c>
      <c r="F119" s="694" t="s">
        <v>263</v>
      </c>
      <c r="G119" s="924"/>
      <c r="H119" s="922"/>
      <c r="I119" s="923"/>
      <c r="J119" s="198" t="str">
        <f t="shared" si="10"/>
        <v/>
      </c>
      <c r="K119" s="31" t="str">
        <f t="shared" si="11"/>
        <v/>
      </c>
      <c r="L119" s="43"/>
      <c r="M119" s="21"/>
      <c r="N119" s="21"/>
      <c r="O119" s="21"/>
      <c r="P119" s="21"/>
      <c r="Q119" s="21"/>
      <c r="R119" s="21"/>
      <c r="S119" s="21"/>
      <c r="T119" s="21"/>
      <c r="U119" s="21"/>
      <c r="V119" s="21"/>
    </row>
    <row r="120" spans="1:22" ht="30" customHeight="1" x14ac:dyDescent="0.25">
      <c r="A120" s="552"/>
      <c r="B120" s="228" t="s">
        <v>253</v>
      </c>
      <c r="C120" s="352" t="s">
        <v>1034</v>
      </c>
      <c r="D120" s="100">
        <f t="shared" si="9"/>
        <v>576</v>
      </c>
      <c r="E120" s="427" t="s">
        <v>171</v>
      </c>
      <c r="F120" s="694" t="s">
        <v>263</v>
      </c>
      <c r="G120" s="924"/>
      <c r="H120" s="922"/>
      <c r="I120" s="923"/>
      <c r="J120" s="198" t="str">
        <f t="shared" si="10"/>
        <v/>
      </c>
      <c r="K120" s="31" t="str">
        <f t="shared" si="11"/>
        <v/>
      </c>
      <c r="L120" s="43"/>
      <c r="M120" s="21"/>
      <c r="N120" s="847" t="s">
        <v>668</v>
      </c>
      <c r="O120" s="21"/>
      <c r="P120" s="21"/>
      <c r="Q120" s="21"/>
      <c r="R120" s="21"/>
      <c r="S120" s="21"/>
      <c r="T120" s="21"/>
      <c r="U120" s="21"/>
      <c r="V120" s="21"/>
    </row>
    <row r="121" spans="1:22" ht="30" customHeight="1" x14ac:dyDescent="0.25">
      <c r="A121" s="552"/>
      <c r="B121" s="228" t="s">
        <v>254</v>
      </c>
      <c r="C121" s="352" t="s">
        <v>1035</v>
      </c>
      <c r="D121" s="100">
        <f t="shared" si="9"/>
        <v>577</v>
      </c>
      <c r="E121" s="427" t="s">
        <v>171</v>
      </c>
      <c r="F121" s="694" t="s">
        <v>263</v>
      </c>
      <c r="G121" s="924"/>
      <c r="H121" s="922"/>
      <c r="I121" s="923"/>
      <c r="J121" s="198" t="str">
        <f t="shared" si="10"/>
        <v/>
      </c>
      <c r="K121" s="31" t="str">
        <f t="shared" si="11"/>
        <v/>
      </c>
      <c r="L121" s="43"/>
      <c r="M121" s="21"/>
      <c r="N121" s="21"/>
      <c r="O121" s="21"/>
      <c r="P121" s="21"/>
      <c r="Q121" s="21"/>
      <c r="R121" s="21"/>
      <c r="S121" s="21"/>
      <c r="T121" s="21"/>
      <c r="U121" s="21"/>
      <c r="V121" s="21"/>
    </row>
    <row r="122" spans="1:22" ht="30" customHeight="1" x14ac:dyDescent="0.25">
      <c r="A122" s="552"/>
      <c r="B122" s="228" t="s">
        <v>256</v>
      </c>
      <c r="C122" s="352" t="s">
        <v>1036</v>
      </c>
      <c r="D122" s="100">
        <f t="shared" si="9"/>
        <v>578</v>
      </c>
      <c r="E122" s="427" t="s">
        <v>171</v>
      </c>
      <c r="F122" s="694" t="s">
        <v>263</v>
      </c>
      <c r="G122" s="924"/>
      <c r="H122" s="922"/>
      <c r="I122" s="923"/>
      <c r="J122" s="198" t="str">
        <f t="shared" si="10"/>
        <v/>
      </c>
      <c r="K122" s="31" t="str">
        <f t="shared" si="11"/>
        <v/>
      </c>
      <c r="L122" s="31"/>
      <c r="M122" s="21"/>
      <c r="N122" s="21"/>
      <c r="O122" s="21"/>
      <c r="P122" s="21"/>
      <c r="Q122" s="21"/>
      <c r="R122" s="21"/>
      <c r="S122" s="21"/>
      <c r="T122" s="21"/>
      <c r="U122" s="21"/>
      <c r="V122" s="21"/>
    </row>
    <row r="123" spans="1:22" ht="30" customHeight="1" x14ac:dyDescent="0.25">
      <c r="A123" s="552"/>
      <c r="B123" s="228" t="s">
        <v>257</v>
      </c>
      <c r="C123" s="352" t="s">
        <v>1037</v>
      </c>
      <c r="D123" s="100">
        <f t="shared" si="9"/>
        <v>579</v>
      </c>
      <c r="E123" s="427" t="s">
        <v>171</v>
      </c>
      <c r="F123" s="694" t="s">
        <v>263</v>
      </c>
      <c r="G123" s="924"/>
      <c r="H123" s="922"/>
      <c r="I123" s="923"/>
      <c r="J123" s="198" t="str">
        <f t="shared" si="10"/>
        <v/>
      </c>
      <c r="K123" s="31" t="str">
        <f t="shared" si="11"/>
        <v/>
      </c>
      <c r="L123" s="43"/>
      <c r="M123" s="21"/>
      <c r="N123" s="21"/>
      <c r="O123" s="21"/>
      <c r="P123" s="21"/>
      <c r="Q123" s="21"/>
      <c r="R123" s="21"/>
      <c r="S123" s="21"/>
      <c r="T123" s="21"/>
      <c r="U123" s="21"/>
      <c r="V123" s="21"/>
    </row>
    <row r="124" spans="1:22" ht="30" customHeight="1" x14ac:dyDescent="0.25">
      <c r="A124" s="553"/>
      <c r="B124" s="228" t="s">
        <v>259</v>
      </c>
      <c r="C124" s="352" t="s">
        <v>1038</v>
      </c>
      <c r="D124" s="100">
        <f t="shared" si="9"/>
        <v>580</v>
      </c>
      <c r="E124" s="427" t="s">
        <v>171</v>
      </c>
      <c r="F124" s="697" t="s">
        <v>263</v>
      </c>
      <c r="G124" s="924"/>
      <c r="H124" s="922"/>
      <c r="I124" s="923"/>
      <c r="J124" s="198" t="str">
        <f t="shared" si="10"/>
        <v/>
      </c>
      <c r="K124" s="31" t="str">
        <f t="shared" si="11"/>
        <v/>
      </c>
      <c r="L124" s="43"/>
      <c r="M124" s="21"/>
      <c r="N124" s="847" t="s">
        <v>668</v>
      </c>
      <c r="O124" s="21"/>
      <c r="P124" s="21"/>
      <c r="Q124" s="21"/>
      <c r="R124" s="21"/>
      <c r="S124" s="21"/>
      <c r="T124" s="21"/>
      <c r="U124" s="21"/>
      <c r="V124" s="21"/>
    </row>
    <row r="125" spans="1:22" s="2" customFormat="1" ht="30" customHeight="1" x14ac:dyDescent="0.25">
      <c r="A125" s="560" t="s">
        <v>2451</v>
      </c>
      <c r="B125" s="240"/>
      <c r="C125" s="215"/>
      <c r="D125" s="428"/>
      <c r="E125" s="429"/>
      <c r="F125" s="714"/>
      <c r="G125" s="924"/>
      <c r="H125" s="922"/>
      <c r="I125" s="923"/>
      <c r="J125" s="98"/>
      <c r="K125" s="31"/>
      <c r="L125" s="43"/>
      <c r="M125" s="21"/>
      <c r="N125" s="21"/>
      <c r="O125" s="21"/>
      <c r="P125" s="21"/>
      <c r="Q125" s="21"/>
      <c r="R125" s="21"/>
      <c r="S125" s="21"/>
      <c r="T125" s="21"/>
      <c r="U125" s="21"/>
      <c r="V125" s="21"/>
    </row>
    <row r="126" spans="1:22" s="2" customFormat="1" ht="30" customHeight="1" x14ac:dyDescent="0.25">
      <c r="A126" s="555" t="s">
        <v>34</v>
      </c>
      <c r="B126" s="239"/>
      <c r="C126" s="215"/>
      <c r="D126" s="428"/>
      <c r="E126" s="429"/>
      <c r="F126" s="714"/>
      <c r="G126" s="924"/>
      <c r="H126" s="922"/>
      <c r="I126" s="923"/>
      <c r="J126" s="98"/>
      <c r="K126" s="31"/>
      <c r="L126" s="43"/>
      <c r="M126" s="21"/>
      <c r="N126" s="21"/>
      <c r="O126" s="21"/>
      <c r="P126" s="21"/>
      <c r="Q126" s="21"/>
      <c r="R126" s="21"/>
      <c r="S126" s="21"/>
      <c r="T126" s="21"/>
      <c r="U126" s="21"/>
      <c r="V126" s="21"/>
    </row>
    <row r="127" spans="1:22" s="2" customFormat="1" ht="30" customHeight="1" x14ac:dyDescent="0.25">
      <c r="A127" s="560" t="s">
        <v>35</v>
      </c>
      <c r="B127" s="239"/>
      <c r="C127" s="240"/>
      <c r="D127" s="428"/>
      <c r="E127" s="429"/>
      <c r="F127" s="714"/>
      <c r="G127" s="924"/>
      <c r="H127" s="922"/>
      <c r="I127" s="923"/>
      <c r="J127" s="98"/>
      <c r="K127" s="31"/>
      <c r="L127" s="31"/>
      <c r="M127" s="21"/>
      <c r="N127" s="21"/>
      <c r="O127" s="21"/>
      <c r="P127" s="21"/>
      <c r="Q127" s="21"/>
      <c r="R127" s="21"/>
      <c r="S127" s="21"/>
      <c r="T127" s="21"/>
      <c r="U127" s="21"/>
      <c r="V127" s="21"/>
    </row>
    <row r="128" spans="1:22" s="2" customFormat="1" ht="30" customHeight="1" x14ac:dyDescent="0.25">
      <c r="A128" s="538">
        <f>A115+1</f>
        <v>41</v>
      </c>
      <c r="B128" s="219" t="s">
        <v>41</v>
      </c>
      <c r="C128" s="342" t="s">
        <v>36</v>
      </c>
      <c r="D128" s="100">
        <f>D124+1</f>
        <v>581</v>
      </c>
      <c r="E128" s="427" t="s">
        <v>160</v>
      </c>
      <c r="F128" s="828">
        <v>3.15</v>
      </c>
      <c r="G128" s="924"/>
      <c r="H128" s="922" t="s">
        <v>2780</v>
      </c>
      <c r="I128" s="923"/>
      <c r="J128" s="198" t="str">
        <f>IF(LEN(F128)&gt;0,"","Belum Terisi")</f>
        <v/>
      </c>
      <c r="K128" s="31"/>
      <c r="L128" s="43"/>
      <c r="M128" s="21"/>
      <c r="N128" s="21"/>
      <c r="O128" s="21"/>
      <c r="P128" s="21"/>
      <c r="Q128" s="21"/>
      <c r="R128" s="21"/>
      <c r="S128" s="21"/>
      <c r="T128" s="21"/>
      <c r="U128" s="21"/>
      <c r="V128" s="21"/>
    </row>
    <row r="129" spans="1:22" s="2" customFormat="1" ht="30" customHeight="1" x14ac:dyDescent="0.25">
      <c r="A129" s="541"/>
      <c r="B129" s="354" t="s">
        <v>139</v>
      </c>
      <c r="C129" s="342" t="s">
        <v>709</v>
      </c>
      <c r="D129" s="100">
        <f>D128+1</f>
        <v>582</v>
      </c>
      <c r="E129" s="435" t="s">
        <v>171</v>
      </c>
      <c r="F129" s="774" t="s">
        <v>263</v>
      </c>
      <c r="G129" s="924"/>
      <c r="H129" s="925"/>
      <c r="I129" s="925">
        <f>IF(OR('INPUTAN DESA ....'!F21=65,'INPUTAN DESA ....'!F21=81,'INPUTAN DESA ....'!F21=82,'INPUTAN DESA ....'!F21=71,'INPUTAN DESA ....'!F21=11,'INPUTAN DESA ....'!F21=61,'INPUTAN DESA ....'!F21=65,'INPUTAN DESA ....'!F21=21,'INPUTAN DESA ....'!F21=14,'INPUTAN DESA ....'!F21=91,'INPUTAN DESA ....'!F21=96,'INPUTAN DESA ....'!F21=95,'INPUTAN DESA ....'!F21=93),1,'INPUTAN DESA ....'!F21)</f>
        <v>33</v>
      </c>
      <c r="J129" s="198" t="str">
        <f>IF(LEN(F129)&gt;0,"","Belum Terisi")</f>
        <v/>
      </c>
      <c r="K129" s="31"/>
      <c r="L129" s="43"/>
      <c r="M129" s="21"/>
      <c r="N129" s="21"/>
      <c r="O129" s="21"/>
      <c r="P129" s="21"/>
      <c r="Q129" s="21"/>
      <c r="R129" s="21"/>
      <c r="S129" s="21"/>
      <c r="T129" s="21"/>
      <c r="U129" s="21"/>
      <c r="V129" s="21"/>
    </row>
    <row r="130" spans="1:22" s="2" customFormat="1" ht="30" customHeight="1" x14ac:dyDescent="0.25">
      <c r="A130" s="554" t="s">
        <v>2496</v>
      </c>
      <c r="B130" s="355"/>
      <c r="C130" s="356"/>
      <c r="D130" s="429"/>
      <c r="E130" s="429"/>
      <c r="F130" s="732"/>
      <c r="G130" s="924"/>
      <c r="H130" s="925"/>
      <c r="I130" s="925"/>
      <c r="J130" s="198"/>
      <c r="K130" s="31"/>
      <c r="L130" s="43"/>
      <c r="M130" s="21"/>
      <c r="N130" s="21"/>
      <c r="O130" s="21"/>
      <c r="P130" s="21"/>
      <c r="Q130" s="21"/>
      <c r="R130" s="21"/>
      <c r="S130" s="21"/>
      <c r="T130" s="21"/>
      <c r="U130" s="21"/>
      <c r="V130" s="21"/>
    </row>
    <row r="131" spans="1:22" s="2" customFormat="1" ht="30" customHeight="1" x14ac:dyDescent="0.25">
      <c r="A131" s="538">
        <f>A128+1</f>
        <v>42</v>
      </c>
      <c r="B131" s="241" t="s">
        <v>41</v>
      </c>
      <c r="C131" s="342" t="s">
        <v>641</v>
      </c>
      <c r="D131" s="100">
        <f>D129+1</f>
        <v>583</v>
      </c>
      <c r="E131" s="427" t="s">
        <v>171</v>
      </c>
      <c r="F131" s="766" t="s">
        <v>263</v>
      </c>
      <c r="G131" s="924"/>
      <c r="H131" s="925"/>
      <c r="I131" s="925"/>
      <c r="J131" s="198" t="str">
        <f t="shared" ref="J131:J146" si="12">IF(LEN(F131)&gt;0,"","Belum Terisi")</f>
        <v/>
      </c>
      <c r="K131" s="31"/>
      <c r="L131" s="43"/>
      <c r="M131" s="21"/>
      <c r="N131" s="21"/>
      <c r="O131" s="21"/>
      <c r="P131" s="21"/>
      <c r="Q131" s="21"/>
      <c r="R131" s="21"/>
      <c r="S131" s="21"/>
      <c r="T131" s="849" t="s">
        <v>640</v>
      </c>
      <c r="U131" s="849"/>
      <c r="V131" s="21"/>
    </row>
    <row r="132" spans="1:22" s="2" customFormat="1" ht="30" customHeight="1" x14ac:dyDescent="0.25">
      <c r="A132" s="542"/>
      <c r="B132" s="542" t="s">
        <v>139</v>
      </c>
      <c r="C132" s="342" t="s">
        <v>642</v>
      </c>
      <c r="D132" s="100">
        <f t="shared" ref="D132:D178" si="13">D131+1</f>
        <v>584</v>
      </c>
      <c r="E132" s="427" t="s">
        <v>171</v>
      </c>
      <c r="F132" s="766" t="s">
        <v>263</v>
      </c>
      <c r="G132" s="924"/>
      <c r="H132" s="925"/>
      <c r="I132" s="925"/>
      <c r="J132" s="198" t="str">
        <f t="shared" si="12"/>
        <v/>
      </c>
      <c r="K132" s="31"/>
      <c r="L132" s="31"/>
      <c r="M132" s="21"/>
      <c r="N132" s="21"/>
      <c r="O132" s="21"/>
      <c r="P132" s="21"/>
      <c r="Q132" s="21"/>
      <c r="R132" s="21"/>
      <c r="S132" s="21"/>
      <c r="T132" s="849" t="s">
        <v>640</v>
      </c>
      <c r="U132" s="849"/>
      <c r="V132" s="21"/>
    </row>
    <row r="133" spans="1:22" s="2" customFormat="1" ht="30" customHeight="1" x14ac:dyDescent="0.25">
      <c r="A133" s="542"/>
      <c r="B133" s="542" t="s">
        <v>251</v>
      </c>
      <c r="C133" s="342" t="s">
        <v>2501</v>
      </c>
      <c r="D133" s="100">
        <f t="shared" si="13"/>
        <v>585</v>
      </c>
      <c r="E133" s="427" t="s">
        <v>171</v>
      </c>
      <c r="F133" s="766" t="s">
        <v>263</v>
      </c>
      <c r="G133" s="924"/>
      <c r="H133" s="925"/>
      <c r="I133" s="925"/>
      <c r="J133" s="198" t="str">
        <f t="shared" si="12"/>
        <v/>
      </c>
      <c r="K133" s="31"/>
      <c r="L133" s="31"/>
      <c r="M133" s="21"/>
      <c r="N133" s="21"/>
      <c r="O133" s="21"/>
      <c r="P133" s="21"/>
      <c r="Q133" s="21"/>
      <c r="R133" s="21"/>
      <c r="S133" s="21"/>
      <c r="T133" s="849"/>
      <c r="U133" s="849"/>
      <c r="V133" s="21"/>
    </row>
    <row r="134" spans="1:22" s="2" customFormat="1" ht="30" customHeight="1" x14ac:dyDescent="0.25">
      <c r="A134" s="542"/>
      <c r="B134" s="542" t="s">
        <v>255</v>
      </c>
      <c r="C134" s="342" t="s">
        <v>655</v>
      </c>
      <c r="D134" s="100">
        <f t="shared" si="13"/>
        <v>586</v>
      </c>
      <c r="E134" s="427" t="s">
        <v>171</v>
      </c>
      <c r="F134" s="766" t="s">
        <v>263</v>
      </c>
      <c r="G134" s="924"/>
      <c r="H134" s="925"/>
      <c r="I134" s="925"/>
      <c r="J134" s="198" t="str">
        <f t="shared" si="12"/>
        <v/>
      </c>
      <c r="K134" s="31"/>
      <c r="L134" s="43"/>
      <c r="M134" s="21"/>
      <c r="N134" s="21"/>
      <c r="O134" s="21"/>
      <c r="P134" s="21"/>
      <c r="Q134" s="21"/>
      <c r="R134" s="21"/>
      <c r="S134" s="21"/>
      <c r="T134" s="849" t="s">
        <v>640</v>
      </c>
      <c r="U134" s="849"/>
      <c r="V134" s="21"/>
    </row>
    <row r="135" spans="1:22" s="2" customFormat="1" ht="30" customHeight="1" x14ac:dyDescent="0.25">
      <c r="A135" s="542"/>
      <c r="B135" s="542" t="s">
        <v>252</v>
      </c>
      <c r="C135" s="342" t="s">
        <v>658</v>
      </c>
      <c r="D135" s="100">
        <f t="shared" si="13"/>
        <v>587</v>
      </c>
      <c r="E135" s="427" t="s">
        <v>171</v>
      </c>
      <c r="F135" s="766" t="s">
        <v>263</v>
      </c>
      <c r="G135" s="924"/>
      <c r="H135" s="925"/>
      <c r="I135" s="925"/>
      <c r="J135" s="198" t="str">
        <f t="shared" si="12"/>
        <v/>
      </c>
      <c r="K135" s="31"/>
      <c r="L135" s="43"/>
      <c r="M135" s="21"/>
      <c r="N135" s="21"/>
      <c r="O135" s="21"/>
      <c r="P135" s="21"/>
      <c r="Q135" s="21"/>
      <c r="R135" s="21"/>
      <c r="S135" s="21"/>
      <c r="T135" s="849" t="s">
        <v>640</v>
      </c>
      <c r="U135" s="849"/>
      <c r="V135" s="21"/>
    </row>
    <row r="136" spans="1:22" ht="30" customHeight="1" x14ac:dyDescent="0.25">
      <c r="A136" s="542"/>
      <c r="B136" s="542" t="s">
        <v>253</v>
      </c>
      <c r="C136" s="342" t="s">
        <v>2503</v>
      </c>
      <c r="D136" s="100">
        <f t="shared" si="13"/>
        <v>588</v>
      </c>
      <c r="E136" s="427" t="s">
        <v>171</v>
      </c>
      <c r="F136" s="766" t="s">
        <v>263</v>
      </c>
      <c r="G136" s="924"/>
      <c r="H136" s="922"/>
      <c r="I136" s="923"/>
      <c r="J136" s="198" t="str">
        <f t="shared" si="12"/>
        <v/>
      </c>
      <c r="K136" s="31"/>
      <c r="L136" s="43"/>
      <c r="M136" s="21"/>
      <c r="N136" s="21"/>
      <c r="O136" s="21"/>
      <c r="P136" s="21"/>
      <c r="Q136" s="21"/>
      <c r="R136" s="21"/>
      <c r="S136" s="21"/>
      <c r="T136" s="21"/>
      <c r="U136" s="21"/>
      <c r="V136" s="21"/>
    </row>
    <row r="137" spans="1:22" s="2" customFormat="1" ht="30" customHeight="1" x14ac:dyDescent="0.25">
      <c r="A137" s="542"/>
      <c r="B137" s="542" t="s">
        <v>254</v>
      </c>
      <c r="C137" s="342" t="s">
        <v>643</v>
      </c>
      <c r="D137" s="100">
        <f t="shared" si="13"/>
        <v>589</v>
      </c>
      <c r="E137" s="427" t="s">
        <v>171</v>
      </c>
      <c r="F137" s="766" t="s">
        <v>263</v>
      </c>
      <c r="G137" s="924"/>
      <c r="H137" s="925"/>
      <c r="I137" s="925"/>
      <c r="J137" s="198" t="str">
        <f t="shared" si="12"/>
        <v/>
      </c>
      <c r="K137" s="31"/>
      <c r="L137" s="43"/>
      <c r="M137" s="21"/>
      <c r="N137" s="21"/>
      <c r="O137" s="21"/>
      <c r="P137" s="21"/>
      <c r="Q137" s="21"/>
      <c r="R137" s="21"/>
      <c r="S137" s="21"/>
      <c r="T137" s="849" t="s">
        <v>640</v>
      </c>
      <c r="U137" s="849"/>
      <c r="V137" s="21"/>
    </row>
    <row r="138" spans="1:22" s="2" customFormat="1" ht="30" customHeight="1" x14ac:dyDescent="0.25">
      <c r="A138" s="542"/>
      <c r="B138" s="542" t="s">
        <v>256</v>
      </c>
      <c r="C138" s="342" t="s">
        <v>644</v>
      </c>
      <c r="D138" s="100">
        <f t="shared" si="13"/>
        <v>590</v>
      </c>
      <c r="E138" s="427" t="s">
        <v>171</v>
      </c>
      <c r="F138" s="766" t="s">
        <v>263</v>
      </c>
      <c r="G138" s="924"/>
      <c r="H138" s="925"/>
      <c r="I138" s="925"/>
      <c r="J138" s="198" t="str">
        <f t="shared" si="12"/>
        <v/>
      </c>
      <c r="K138" s="31"/>
      <c r="L138" s="43"/>
      <c r="M138" s="21"/>
      <c r="N138" s="21"/>
      <c r="O138" s="21"/>
      <c r="P138" s="21"/>
      <c r="Q138" s="21"/>
      <c r="R138" s="21"/>
      <c r="S138" s="21"/>
      <c r="T138" s="849" t="s">
        <v>640</v>
      </c>
      <c r="U138" s="849"/>
      <c r="V138" s="21"/>
    </row>
    <row r="139" spans="1:22" s="2" customFormat="1" ht="30" customHeight="1" x14ac:dyDescent="0.25">
      <c r="A139" s="542"/>
      <c r="B139" s="542" t="s">
        <v>257</v>
      </c>
      <c r="C139" s="342" t="s">
        <v>645</v>
      </c>
      <c r="D139" s="100">
        <f t="shared" si="13"/>
        <v>591</v>
      </c>
      <c r="E139" s="427" t="s">
        <v>171</v>
      </c>
      <c r="F139" s="766" t="s">
        <v>263</v>
      </c>
      <c r="G139" s="924"/>
      <c r="H139" s="925"/>
      <c r="I139" s="925"/>
      <c r="J139" s="198" t="str">
        <f t="shared" si="12"/>
        <v/>
      </c>
      <c r="K139" s="31"/>
      <c r="L139" s="43"/>
      <c r="M139" s="21"/>
      <c r="N139" s="21"/>
      <c r="O139" s="21"/>
      <c r="P139" s="21"/>
      <c r="Q139" s="21"/>
      <c r="R139" s="21"/>
      <c r="S139" s="21"/>
      <c r="T139" s="849" t="s">
        <v>640</v>
      </c>
      <c r="U139" s="849"/>
      <c r="V139" s="21"/>
    </row>
    <row r="140" spans="1:22" ht="30" customHeight="1" x14ac:dyDescent="0.25">
      <c r="A140" s="542"/>
      <c r="B140" s="542" t="s">
        <v>259</v>
      </c>
      <c r="C140" s="342" t="s">
        <v>2504</v>
      </c>
      <c r="D140" s="100">
        <f t="shared" si="13"/>
        <v>592</v>
      </c>
      <c r="E140" s="427" t="s">
        <v>171</v>
      </c>
      <c r="F140" s="766" t="s">
        <v>263</v>
      </c>
      <c r="G140" s="924"/>
      <c r="H140" s="922"/>
      <c r="I140" s="923"/>
      <c r="J140" s="198" t="str">
        <f t="shared" si="12"/>
        <v/>
      </c>
      <c r="K140" s="31"/>
      <c r="L140" s="43"/>
      <c r="M140" s="21"/>
      <c r="N140" s="21"/>
      <c r="O140" s="21"/>
      <c r="P140" s="21"/>
      <c r="Q140" s="21"/>
      <c r="R140" s="21"/>
      <c r="S140" s="21"/>
      <c r="T140" s="21"/>
      <c r="U140" s="21"/>
      <c r="V140" s="21"/>
    </row>
    <row r="141" spans="1:22" ht="30" customHeight="1" x14ac:dyDescent="0.25">
      <c r="A141" s="542"/>
      <c r="B141" s="542" t="s">
        <v>260</v>
      </c>
      <c r="C141" s="342" t="s">
        <v>2505</v>
      </c>
      <c r="D141" s="100">
        <f t="shared" si="13"/>
        <v>593</v>
      </c>
      <c r="E141" s="427" t="s">
        <v>171</v>
      </c>
      <c r="F141" s="766" t="s">
        <v>263</v>
      </c>
      <c r="G141" s="924"/>
      <c r="H141" s="922"/>
      <c r="I141" s="923"/>
      <c r="J141" s="198" t="str">
        <f t="shared" si="12"/>
        <v/>
      </c>
      <c r="K141" s="31"/>
      <c r="L141" s="43"/>
      <c r="M141" s="21"/>
      <c r="N141" s="21"/>
      <c r="O141" s="21"/>
      <c r="P141" s="21"/>
      <c r="Q141" s="21"/>
      <c r="R141" s="21"/>
      <c r="S141" s="21"/>
      <c r="T141" s="21"/>
      <c r="U141" s="21"/>
      <c r="V141" s="21"/>
    </row>
    <row r="142" spans="1:22" ht="30" customHeight="1" x14ac:dyDescent="0.25">
      <c r="A142" s="542"/>
      <c r="B142" s="542" t="s">
        <v>575</v>
      </c>
      <c r="C142" s="342" t="s">
        <v>2506</v>
      </c>
      <c r="D142" s="100">
        <f t="shared" si="13"/>
        <v>594</v>
      </c>
      <c r="E142" s="427" t="s">
        <v>171</v>
      </c>
      <c r="F142" s="766" t="s">
        <v>263</v>
      </c>
      <c r="G142" s="924"/>
      <c r="H142" s="922"/>
      <c r="I142" s="923"/>
      <c r="J142" s="198" t="str">
        <f t="shared" si="12"/>
        <v/>
      </c>
      <c r="K142" s="31"/>
      <c r="L142" s="43"/>
      <c r="M142" s="21"/>
      <c r="N142" s="21"/>
      <c r="O142" s="21"/>
      <c r="P142" s="21"/>
      <c r="Q142" s="21"/>
      <c r="R142" s="21"/>
      <c r="S142" s="21"/>
      <c r="T142" s="21"/>
      <c r="U142" s="21"/>
      <c r="V142" s="21"/>
    </row>
    <row r="143" spans="1:22" ht="30" customHeight="1" x14ac:dyDescent="0.25">
      <c r="A143" s="542"/>
      <c r="B143" s="542" t="s">
        <v>576</v>
      </c>
      <c r="C143" s="342" t="s">
        <v>2507</v>
      </c>
      <c r="D143" s="100">
        <f t="shared" si="13"/>
        <v>595</v>
      </c>
      <c r="E143" s="427" t="s">
        <v>171</v>
      </c>
      <c r="F143" s="766" t="s">
        <v>263</v>
      </c>
      <c r="G143" s="924"/>
      <c r="H143" s="922"/>
      <c r="I143" s="923"/>
      <c r="J143" s="198" t="str">
        <f t="shared" si="12"/>
        <v/>
      </c>
      <c r="K143" s="31"/>
      <c r="L143" s="43"/>
      <c r="M143" s="21"/>
      <c r="N143" s="21"/>
      <c r="O143" s="21"/>
      <c r="P143" s="21"/>
      <c r="Q143" s="21"/>
      <c r="R143" s="21"/>
      <c r="S143" s="21"/>
      <c r="T143" s="21"/>
      <c r="U143" s="21"/>
      <c r="V143" s="21"/>
    </row>
    <row r="144" spans="1:22" ht="30" customHeight="1" x14ac:dyDescent="0.25">
      <c r="A144" s="542"/>
      <c r="B144" s="542" t="s">
        <v>1887</v>
      </c>
      <c r="C144" s="342" t="s">
        <v>2508</v>
      </c>
      <c r="D144" s="100">
        <f t="shared" si="13"/>
        <v>596</v>
      </c>
      <c r="E144" s="427" t="s">
        <v>171</v>
      </c>
      <c r="F144" s="766" t="s">
        <v>263</v>
      </c>
      <c r="G144" s="924"/>
      <c r="H144" s="922"/>
      <c r="I144" s="923"/>
      <c r="J144" s="198" t="str">
        <f t="shared" si="12"/>
        <v/>
      </c>
      <c r="K144" s="31"/>
      <c r="L144" s="43"/>
      <c r="M144" s="21"/>
      <c r="N144" s="21"/>
      <c r="O144" s="21"/>
      <c r="P144" s="21"/>
      <c r="Q144" s="21"/>
      <c r="R144" s="21"/>
      <c r="S144" s="21"/>
      <c r="T144" s="21"/>
      <c r="U144" s="21"/>
      <c r="V144" s="21"/>
    </row>
    <row r="145" spans="1:22" ht="30" customHeight="1" x14ac:dyDescent="0.25">
      <c r="A145" s="542"/>
      <c r="B145" s="542" t="s">
        <v>2510</v>
      </c>
      <c r="C145" s="342" t="s">
        <v>2509</v>
      </c>
      <c r="D145" s="100">
        <f t="shared" si="13"/>
        <v>597</v>
      </c>
      <c r="E145" s="427" t="s">
        <v>171</v>
      </c>
      <c r="F145" s="766" t="s">
        <v>263</v>
      </c>
      <c r="G145" s="924"/>
      <c r="H145" s="922"/>
      <c r="I145" s="923"/>
      <c r="J145" s="198" t="str">
        <f t="shared" si="12"/>
        <v/>
      </c>
      <c r="K145" s="31"/>
      <c r="L145" s="43"/>
      <c r="M145" s="21"/>
      <c r="N145" s="21"/>
      <c r="O145" s="21"/>
      <c r="P145" s="21"/>
      <c r="Q145" s="21"/>
      <c r="R145" s="21"/>
      <c r="S145" s="21"/>
      <c r="T145" s="21"/>
      <c r="U145" s="21"/>
      <c r="V145" s="21"/>
    </row>
    <row r="146" spans="1:22" ht="30" customHeight="1" x14ac:dyDescent="0.25">
      <c r="A146" s="541"/>
      <c r="B146" s="541" t="s">
        <v>2523</v>
      </c>
      <c r="C146" s="342" t="s">
        <v>2525</v>
      </c>
      <c r="D146" s="100">
        <f t="shared" si="13"/>
        <v>598</v>
      </c>
      <c r="E146" s="427" t="s">
        <v>174</v>
      </c>
      <c r="F146" s="766" t="s">
        <v>240</v>
      </c>
      <c r="G146" s="924"/>
      <c r="H146" s="922"/>
      <c r="I146" s="923"/>
      <c r="J146" s="198" t="str">
        <f t="shared" si="12"/>
        <v/>
      </c>
      <c r="K146" s="31"/>
      <c r="L146" s="43"/>
      <c r="M146" s="21"/>
      <c r="N146" s="21"/>
      <c r="O146" s="21"/>
      <c r="P146" s="21"/>
      <c r="Q146" s="21"/>
      <c r="R146" s="21"/>
      <c r="S146" s="21"/>
      <c r="T146" s="21"/>
      <c r="U146" s="21"/>
      <c r="V146" s="21"/>
    </row>
    <row r="147" spans="1:22" s="2" customFormat="1" ht="30" customHeight="1" x14ac:dyDescent="0.25">
      <c r="A147" s="554" t="s">
        <v>2497</v>
      </c>
      <c r="B147" s="216"/>
      <c r="C147" s="821"/>
      <c r="D147" s="429"/>
      <c r="E147" s="429"/>
      <c r="F147" s="38"/>
      <c r="G147" s="924"/>
      <c r="H147" s="922"/>
      <c r="I147" s="923"/>
      <c r="J147" s="198"/>
      <c r="K147" s="31"/>
      <c r="L147" s="43"/>
      <c r="M147" s="21"/>
      <c r="N147" s="21"/>
      <c r="O147" s="21"/>
      <c r="P147" s="21"/>
      <c r="Q147" s="21"/>
      <c r="R147" s="21"/>
      <c r="S147" s="21"/>
      <c r="T147" s="849"/>
      <c r="U147" s="849"/>
      <c r="V147" s="21"/>
    </row>
    <row r="148" spans="1:22" s="2" customFormat="1" ht="30" customHeight="1" x14ac:dyDescent="0.25">
      <c r="A148" s="538">
        <f>A131+1</f>
        <v>43</v>
      </c>
      <c r="B148" s="241" t="s">
        <v>41</v>
      </c>
      <c r="C148" s="342" t="s">
        <v>2502</v>
      </c>
      <c r="D148" s="100">
        <f>D146+1</f>
        <v>599</v>
      </c>
      <c r="E148" s="427" t="s">
        <v>171</v>
      </c>
      <c r="F148" s="766" t="s">
        <v>263</v>
      </c>
      <c r="G148" s="924"/>
      <c r="H148" s="925"/>
      <c r="I148" s="925"/>
      <c r="J148" s="198" t="str">
        <f t="shared" ref="J148:J158" si="14">IF(LEN(F148)&gt;0,"","Belum Terisi")</f>
        <v/>
      </c>
      <c r="K148" s="31"/>
      <c r="L148" s="43"/>
      <c r="M148" s="21"/>
      <c r="N148" s="21"/>
      <c r="O148" s="21"/>
      <c r="P148" s="21"/>
      <c r="Q148" s="21"/>
      <c r="R148" s="21"/>
      <c r="S148" s="21"/>
      <c r="T148" s="849" t="s">
        <v>640</v>
      </c>
      <c r="U148" s="849"/>
      <c r="V148" s="21"/>
    </row>
    <row r="149" spans="1:22" s="2" customFormat="1" ht="30" customHeight="1" x14ac:dyDescent="0.25">
      <c r="A149" s="794"/>
      <c r="B149" s="242" t="s">
        <v>139</v>
      </c>
      <c r="C149" s="342" t="s">
        <v>654</v>
      </c>
      <c r="D149" s="100">
        <f>D148+1</f>
        <v>600</v>
      </c>
      <c r="E149" s="427" t="s">
        <v>171</v>
      </c>
      <c r="F149" s="766" t="s">
        <v>263</v>
      </c>
      <c r="G149" s="924"/>
      <c r="H149" s="925"/>
      <c r="I149" s="925"/>
      <c r="J149" s="198" t="str">
        <f t="shared" si="14"/>
        <v/>
      </c>
      <c r="K149" s="31"/>
      <c r="L149" s="43"/>
      <c r="M149" s="21"/>
      <c r="N149" s="21"/>
      <c r="O149" s="21"/>
      <c r="P149" s="21"/>
      <c r="Q149" s="21"/>
      <c r="R149" s="21"/>
      <c r="S149" s="21"/>
      <c r="T149" s="849"/>
      <c r="U149" s="849"/>
      <c r="V149" s="21"/>
    </row>
    <row r="150" spans="1:22" s="2" customFormat="1" ht="30" customHeight="1" x14ac:dyDescent="0.25">
      <c r="A150" s="542"/>
      <c r="B150" s="242" t="s">
        <v>251</v>
      </c>
      <c r="C150" s="342" t="s">
        <v>659</v>
      </c>
      <c r="D150" s="100">
        <f t="shared" ref="D150:D158" si="15">D149+1</f>
        <v>601</v>
      </c>
      <c r="E150" s="427" t="s">
        <v>171</v>
      </c>
      <c r="F150" s="766" t="s">
        <v>263</v>
      </c>
      <c r="G150" s="924"/>
      <c r="H150" s="925"/>
      <c r="I150" s="925"/>
      <c r="J150" s="198" t="str">
        <f t="shared" si="14"/>
        <v/>
      </c>
      <c r="K150" s="31"/>
      <c r="L150" s="31"/>
      <c r="M150" s="21"/>
      <c r="N150" s="21"/>
      <c r="O150" s="21"/>
      <c r="P150" s="21"/>
      <c r="Q150" s="21"/>
      <c r="R150" s="21"/>
      <c r="S150" s="21"/>
      <c r="T150" s="849" t="s">
        <v>640</v>
      </c>
      <c r="U150" s="849"/>
      <c r="V150" s="21"/>
    </row>
    <row r="151" spans="1:22" s="2" customFormat="1" ht="30" customHeight="1" x14ac:dyDescent="0.25">
      <c r="A151" s="542"/>
      <c r="B151" s="242" t="s">
        <v>255</v>
      </c>
      <c r="C151" s="342" t="s">
        <v>653</v>
      </c>
      <c r="D151" s="100">
        <f t="shared" si="15"/>
        <v>602</v>
      </c>
      <c r="E151" s="427" t="s">
        <v>171</v>
      </c>
      <c r="F151" s="766" t="s">
        <v>285</v>
      </c>
      <c r="G151" s="924"/>
      <c r="H151" s="925"/>
      <c r="I151" s="925"/>
      <c r="J151" s="198" t="str">
        <f t="shared" si="14"/>
        <v/>
      </c>
      <c r="K151" s="31"/>
      <c r="L151" s="31"/>
      <c r="M151" s="21"/>
      <c r="N151" s="21"/>
      <c r="O151" s="21"/>
      <c r="P151" s="21"/>
      <c r="Q151" s="21"/>
      <c r="R151" s="21"/>
      <c r="S151" s="21"/>
      <c r="T151" s="849" t="s">
        <v>640</v>
      </c>
      <c r="U151" s="849"/>
      <c r="V151" s="21"/>
    </row>
    <row r="152" spans="1:22" s="2" customFormat="1" ht="30" customHeight="1" x14ac:dyDescent="0.25">
      <c r="A152" s="542"/>
      <c r="B152" s="242" t="s">
        <v>252</v>
      </c>
      <c r="C152" s="342" t="s">
        <v>652</v>
      </c>
      <c r="D152" s="100">
        <f t="shared" si="15"/>
        <v>603</v>
      </c>
      <c r="E152" s="427" t="s">
        <v>171</v>
      </c>
      <c r="F152" s="766" t="s">
        <v>263</v>
      </c>
      <c r="G152" s="924"/>
      <c r="H152" s="925"/>
      <c r="I152" s="925"/>
      <c r="J152" s="198" t="str">
        <f t="shared" si="14"/>
        <v/>
      </c>
      <c r="K152" s="31"/>
      <c r="L152" s="43"/>
      <c r="M152" s="21"/>
      <c r="N152" s="21"/>
      <c r="O152" s="21"/>
      <c r="P152" s="21"/>
      <c r="Q152" s="21"/>
      <c r="R152" s="21"/>
      <c r="S152" s="21"/>
      <c r="T152" s="849" t="s">
        <v>640</v>
      </c>
      <c r="U152" s="849"/>
      <c r="V152" s="21"/>
    </row>
    <row r="153" spans="1:22" s="2" customFormat="1" ht="30" customHeight="1" x14ac:dyDescent="0.25">
      <c r="A153" s="542"/>
      <c r="B153" s="242" t="s">
        <v>253</v>
      </c>
      <c r="C153" s="342" t="s">
        <v>656</v>
      </c>
      <c r="D153" s="100">
        <f t="shared" si="15"/>
        <v>604</v>
      </c>
      <c r="E153" s="427" t="s">
        <v>171</v>
      </c>
      <c r="F153" s="766" t="s">
        <v>285</v>
      </c>
      <c r="G153" s="924"/>
      <c r="H153" s="925"/>
      <c r="I153" s="925"/>
      <c r="J153" s="198" t="str">
        <f t="shared" si="14"/>
        <v/>
      </c>
      <c r="K153" s="31"/>
      <c r="L153" s="43"/>
      <c r="M153" s="21"/>
      <c r="N153" s="21"/>
      <c r="O153" s="21"/>
      <c r="P153" s="21"/>
      <c r="Q153" s="21"/>
      <c r="R153" s="21"/>
      <c r="S153" s="21"/>
      <c r="T153" s="849" t="s">
        <v>640</v>
      </c>
      <c r="U153" s="849"/>
      <c r="V153" s="21"/>
    </row>
    <row r="154" spans="1:22" s="2" customFormat="1" ht="30" customHeight="1" x14ac:dyDescent="0.25">
      <c r="A154" s="542"/>
      <c r="B154" s="242" t="s">
        <v>254</v>
      </c>
      <c r="C154" s="342" t="s">
        <v>657</v>
      </c>
      <c r="D154" s="100">
        <f t="shared" si="15"/>
        <v>605</v>
      </c>
      <c r="E154" s="427" t="s">
        <v>171</v>
      </c>
      <c r="F154" s="766" t="s">
        <v>285</v>
      </c>
      <c r="G154" s="924"/>
      <c r="H154" s="922"/>
      <c r="I154" s="923"/>
      <c r="J154" s="198" t="str">
        <f t="shared" si="14"/>
        <v/>
      </c>
      <c r="K154" s="31"/>
      <c r="L154" s="43"/>
      <c r="M154" s="21"/>
      <c r="N154" s="21"/>
      <c r="O154" s="21"/>
      <c r="P154" s="21"/>
      <c r="Q154" s="21"/>
      <c r="R154" s="21"/>
      <c r="S154" s="21"/>
      <c r="T154" s="849" t="s">
        <v>640</v>
      </c>
      <c r="U154" s="849"/>
      <c r="V154" s="21"/>
    </row>
    <row r="155" spans="1:22" s="2" customFormat="1" ht="30" customHeight="1" x14ac:dyDescent="0.25">
      <c r="A155" s="542"/>
      <c r="B155" s="242" t="s">
        <v>256</v>
      </c>
      <c r="C155" s="342" t="s">
        <v>2498</v>
      </c>
      <c r="D155" s="100">
        <f t="shared" si="15"/>
        <v>606</v>
      </c>
      <c r="E155" s="427" t="s">
        <v>171</v>
      </c>
      <c r="F155" s="766" t="s">
        <v>263</v>
      </c>
      <c r="G155" s="924"/>
      <c r="H155" s="922"/>
      <c r="I155" s="923"/>
      <c r="J155" s="198" t="str">
        <f t="shared" si="14"/>
        <v/>
      </c>
      <c r="K155" s="31"/>
      <c r="L155" s="43"/>
      <c r="M155" s="21"/>
      <c r="N155" s="21"/>
      <c r="O155" s="21"/>
      <c r="P155" s="21"/>
      <c r="Q155" s="21"/>
      <c r="R155" s="21"/>
      <c r="S155" s="21"/>
      <c r="T155" s="849"/>
      <c r="U155" s="849"/>
      <c r="V155" s="21"/>
    </row>
    <row r="156" spans="1:22" s="2" customFormat="1" ht="30" customHeight="1" x14ac:dyDescent="0.25">
      <c r="A156" s="542"/>
      <c r="B156" s="242" t="s">
        <v>257</v>
      </c>
      <c r="C156" s="342" t="s">
        <v>2499</v>
      </c>
      <c r="D156" s="100">
        <f t="shared" si="15"/>
        <v>607</v>
      </c>
      <c r="E156" s="427" t="s">
        <v>171</v>
      </c>
      <c r="F156" s="766" t="s">
        <v>263</v>
      </c>
      <c r="G156" s="924"/>
      <c r="H156" s="922"/>
      <c r="I156" s="923"/>
      <c r="J156" s="198" t="str">
        <f t="shared" si="14"/>
        <v/>
      </c>
      <c r="K156" s="31"/>
      <c r="L156" s="43"/>
      <c r="M156" s="21"/>
      <c r="N156" s="21"/>
      <c r="O156" s="21"/>
      <c r="P156" s="21"/>
      <c r="Q156" s="21"/>
      <c r="R156" s="21"/>
      <c r="S156" s="21"/>
      <c r="T156" s="849"/>
      <c r="U156" s="849"/>
      <c r="V156" s="21"/>
    </row>
    <row r="157" spans="1:22" s="2" customFormat="1" ht="30" customHeight="1" x14ac:dyDescent="0.25">
      <c r="A157" s="541"/>
      <c r="B157" s="354" t="s">
        <v>259</v>
      </c>
      <c r="C157" s="342" t="s">
        <v>2524</v>
      </c>
      <c r="D157" s="100">
        <f t="shared" si="15"/>
        <v>608</v>
      </c>
      <c r="E157" s="427" t="s">
        <v>174</v>
      </c>
      <c r="F157" s="766" t="s">
        <v>240</v>
      </c>
      <c r="G157" s="924"/>
      <c r="H157" s="922"/>
      <c r="I157" s="923"/>
      <c r="J157" s="198" t="str">
        <f t="shared" si="14"/>
        <v/>
      </c>
      <c r="K157" s="31"/>
      <c r="L157" s="43"/>
      <c r="M157" s="21"/>
      <c r="N157" s="21"/>
      <c r="O157" s="21"/>
      <c r="P157" s="21"/>
      <c r="Q157" s="21"/>
      <c r="R157" s="21"/>
      <c r="S157" s="21"/>
      <c r="T157" s="849"/>
      <c r="U157" s="849"/>
      <c r="V157" s="21"/>
    </row>
    <row r="158" spans="1:22" s="2" customFormat="1" ht="30" customHeight="1" x14ac:dyDescent="0.25">
      <c r="A158" s="538">
        <f>A148+1</f>
        <v>44</v>
      </c>
      <c r="B158" s="216"/>
      <c r="C158" s="342" t="s">
        <v>2500</v>
      </c>
      <c r="D158" s="100">
        <f t="shared" si="15"/>
        <v>609</v>
      </c>
      <c r="E158" s="427" t="s">
        <v>171</v>
      </c>
      <c r="F158" s="766" t="s">
        <v>285</v>
      </c>
      <c r="G158" s="924"/>
      <c r="H158" s="922"/>
      <c r="I158" s="923"/>
      <c r="J158" s="198" t="str">
        <f t="shared" si="14"/>
        <v/>
      </c>
      <c r="K158" s="31"/>
      <c r="L158" s="43"/>
      <c r="M158" s="21"/>
      <c r="N158" s="21"/>
      <c r="O158" s="21"/>
      <c r="P158" s="21"/>
      <c r="Q158" s="21"/>
      <c r="R158" s="21"/>
      <c r="S158" s="21"/>
      <c r="T158" s="849"/>
      <c r="U158" s="849"/>
      <c r="V158" s="21"/>
    </row>
    <row r="159" spans="1:22" s="2" customFormat="1" ht="30" customHeight="1" x14ac:dyDescent="0.25">
      <c r="A159" s="559" t="s">
        <v>646</v>
      </c>
      <c r="B159" s="246"/>
      <c r="C159" s="356"/>
      <c r="D159" s="429"/>
      <c r="E159" s="429"/>
      <c r="F159" s="732"/>
      <c r="G159" s="924"/>
      <c r="H159" s="922"/>
      <c r="I159" s="923"/>
      <c r="J159" s="198"/>
      <c r="K159" s="31"/>
      <c r="L159" s="31"/>
      <c r="M159" s="21"/>
      <c r="N159" s="21"/>
      <c r="O159" s="21"/>
      <c r="P159" s="21"/>
      <c r="Q159" s="21"/>
      <c r="R159" s="21"/>
      <c r="S159" s="21"/>
      <c r="T159" s="21"/>
      <c r="U159" s="21"/>
      <c r="V159" s="21"/>
    </row>
    <row r="160" spans="1:22" s="2" customFormat="1" ht="30" customHeight="1" x14ac:dyDescent="0.25">
      <c r="A160" s="538">
        <f>A158+1</f>
        <v>45</v>
      </c>
      <c r="B160" s="241" t="s">
        <v>41</v>
      </c>
      <c r="C160" s="342" t="s">
        <v>649</v>
      </c>
      <c r="D160" s="100">
        <f>D158+1</f>
        <v>610</v>
      </c>
      <c r="E160" s="427" t="s">
        <v>171</v>
      </c>
      <c r="F160" s="766" t="s">
        <v>285</v>
      </c>
      <c r="G160" s="924"/>
      <c r="H160" s="922"/>
      <c r="I160" s="923"/>
      <c r="J160" s="198" t="str">
        <f t="shared" ref="J160:J168" si="16">IF(LEN(F160)&gt;0,"","Belum Terisi")</f>
        <v/>
      </c>
      <c r="K160" s="31"/>
      <c r="L160" s="43"/>
      <c r="M160" s="21"/>
      <c r="N160" s="21"/>
      <c r="O160" s="21"/>
      <c r="P160" s="21"/>
      <c r="Q160" s="21"/>
      <c r="R160" s="21"/>
      <c r="S160" s="21"/>
      <c r="T160" s="849" t="s">
        <v>640</v>
      </c>
      <c r="U160" s="849"/>
      <c r="V160" s="21"/>
    </row>
    <row r="161" spans="1:22" s="2" customFormat="1" ht="30" customHeight="1" x14ac:dyDescent="0.25">
      <c r="A161" s="542"/>
      <c r="B161" s="242" t="s">
        <v>139</v>
      </c>
      <c r="C161" s="342" t="s">
        <v>648</v>
      </c>
      <c r="D161" s="100">
        <f t="shared" si="13"/>
        <v>611</v>
      </c>
      <c r="E161" s="427" t="s">
        <v>171</v>
      </c>
      <c r="F161" s="766" t="s">
        <v>285</v>
      </c>
      <c r="G161" s="924"/>
      <c r="H161" s="922"/>
      <c r="I161" s="923"/>
      <c r="J161" s="198" t="str">
        <f t="shared" si="16"/>
        <v/>
      </c>
      <c r="K161" s="31"/>
      <c r="L161" s="43"/>
      <c r="M161" s="21"/>
      <c r="N161" s="21"/>
      <c r="O161" s="21"/>
      <c r="P161" s="21"/>
      <c r="Q161" s="21"/>
      <c r="R161" s="21"/>
      <c r="S161" s="21"/>
      <c r="T161" s="849" t="s">
        <v>640</v>
      </c>
      <c r="U161" s="849"/>
      <c r="V161" s="21"/>
    </row>
    <row r="162" spans="1:22" s="2" customFormat="1" ht="30" customHeight="1" x14ac:dyDescent="0.25">
      <c r="A162" s="542"/>
      <c r="B162" s="242" t="s">
        <v>251</v>
      </c>
      <c r="C162" s="342" t="s">
        <v>680</v>
      </c>
      <c r="D162" s="100">
        <f t="shared" si="13"/>
        <v>612</v>
      </c>
      <c r="E162" s="427" t="s">
        <v>171</v>
      </c>
      <c r="F162" s="766" t="s">
        <v>263</v>
      </c>
      <c r="G162" s="924"/>
      <c r="H162" s="922"/>
      <c r="I162" s="923"/>
      <c r="J162" s="198" t="str">
        <f t="shared" si="16"/>
        <v/>
      </c>
      <c r="K162" s="31"/>
      <c r="L162" s="43"/>
      <c r="M162" s="21"/>
      <c r="N162" s="21"/>
      <c r="O162" s="21"/>
      <c r="P162" s="21"/>
      <c r="Q162" s="21"/>
      <c r="R162" s="21"/>
      <c r="S162" s="21"/>
      <c r="T162" s="849" t="s">
        <v>640</v>
      </c>
      <c r="U162" s="849"/>
      <c r="V162" s="21"/>
    </row>
    <row r="163" spans="1:22" s="2" customFormat="1" ht="30" customHeight="1" x14ac:dyDescent="0.25">
      <c r="A163" s="542"/>
      <c r="B163" s="242" t="s">
        <v>255</v>
      </c>
      <c r="C163" s="342" t="s">
        <v>681</v>
      </c>
      <c r="D163" s="100">
        <f t="shared" si="13"/>
        <v>613</v>
      </c>
      <c r="E163" s="427" t="s">
        <v>171</v>
      </c>
      <c r="F163" s="766" t="s">
        <v>263</v>
      </c>
      <c r="G163" s="924"/>
      <c r="H163" s="922"/>
      <c r="I163" s="923"/>
      <c r="J163" s="198" t="str">
        <f t="shared" si="16"/>
        <v/>
      </c>
      <c r="K163" s="31"/>
      <c r="L163" s="43"/>
      <c r="M163" s="21"/>
      <c r="N163" s="21"/>
      <c r="O163" s="21"/>
      <c r="P163" s="21"/>
      <c r="Q163" s="21"/>
      <c r="R163" s="21"/>
      <c r="S163" s="21"/>
      <c r="T163" s="849" t="s">
        <v>640</v>
      </c>
      <c r="U163" s="849"/>
      <c r="V163" s="21"/>
    </row>
    <row r="164" spans="1:22" s="2" customFormat="1" ht="30" customHeight="1" x14ac:dyDescent="0.25">
      <c r="A164" s="542"/>
      <c r="B164" s="242" t="s">
        <v>252</v>
      </c>
      <c r="C164" s="342" t="s">
        <v>647</v>
      </c>
      <c r="D164" s="100">
        <f t="shared" si="13"/>
        <v>614</v>
      </c>
      <c r="E164" s="427" t="s">
        <v>171</v>
      </c>
      <c r="F164" s="766" t="s">
        <v>285</v>
      </c>
      <c r="G164" s="924"/>
      <c r="H164" s="922"/>
      <c r="I164" s="923"/>
      <c r="J164" s="198" t="str">
        <f t="shared" si="16"/>
        <v/>
      </c>
      <c r="K164" s="31"/>
      <c r="L164" s="43"/>
      <c r="M164" s="21"/>
      <c r="N164" s="21"/>
      <c r="O164" s="21"/>
      <c r="P164" s="21"/>
      <c r="Q164" s="21"/>
      <c r="R164" s="21"/>
      <c r="S164" s="21"/>
      <c r="T164" s="849" t="s">
        <v>640</v>
      </c>
      <c r="U164" s="849"/>
      <c r="V164" s="21"/>
    </row>
    <row r="165" spans="1:22" s="2" customFormat="1" ht="30" customHeight="1" x14ac:dyDescent="0.25">
      <c r="A165" s="542"/>
      <c r="B165" s="242" t="s">
        <v>253</v>
      </c>
      <c r="C165" s="342" t="s">
        <v>679</v>
      </c>
      <c r="D165" s="100">
        <f t="shared" si="13"/>
        <v>615</v>
      </c>
      <c r="E165" s="427" t="s">
        <v>171</v>
      </c>
      <c r="F165" s="766" t="s">
        <v>285</v>
      </c>
      <c r="G165" s="924"/>
      <c r="H165" s="922"/>
      <c r="I165" s="923"/>
      <c r="J165" s="198" t="str">
        <f t="shared" si="16"/>
        <v/>
      </c>
      <c r="K165" s="31"/>
      <c r="L165" s="31"/>
      <c r="M165" s="21"/>
      <c r="N165" s="21"/>
      <c r="O165" s="21"/>
      <c r="P165" s="21"/>
      <c r="Q165" s="21"/>
      <c r="R165" s="21"/>
      <c r="S165" s="21"/>
      <c r="T165" s="849" t="s">
        <v>640</v>
      </c>
      <c r="U165" s="849"/>
      <c r="V165" s="21"/>
    </row>
    <row r="166" spans="1:22" s="2" customFormat="1" ht="30" customHeight="1" x14ac:dyDescent="0.25">
      <c r="A166" s="542"/>
      <c r="B166" s="242" t="s">
        <v>254</v>
      </c>
      <c r="C166" s="342" t="s">
        <v>650</v>
      </c>
      <c r="D166" s="100">
        <f t="shared" si="13"/>
        <v>616</v>
      </c>
      <c r="E166" s="427" t="s">
        <v>171</v>
      </c>
      <c r="F166" s="766" t="s">
        <v>263</v>
      </c>
      <c r="G166" s="924"/>
      <c r="H166" s="922"/>
      <c r="I166" s="923"/>
      <c r="J166" s="198" t="str">
        <f t="shared" si="16"/>
        <v/>
      </c>
      <c r="K166" s="31"/>
      <c r="L166" s="43"/>
      <c r="M166" s="21"/>
      <c r="N166" s="21"/>
      <c r="O166" s="21"/>
      <c r="P166" s="21"/>
      <c r="Q166" s="21"/>
      <c r="R166" s="21"/>
      <c r="S166" s="21"/>
      <c r="T166" s="849" t="s">
        <v>640</v>
      </c>
      <c r="U166" s="849"/>
      <c r="V166" s="21"/>
    </row>
    <row r="167" spans="1:22" s="2" customFormat="1" ht="30" customHeight="1" x14ac:dyDescent="0.25">
      <c r="A167" s="542"/>
      <c r="B167" s="242" t="s">
        <v>256</v>
      </c>
      <c r="C167" s="342" t="s">
        <v>651</v>
      </c>
      <c r="D167" s="100">
        <f t="shared" si="13"/>
        <v>617</v>
      </c>
      <c r="E167" s="427" t="s">
        <v>171</v>
      </c>
      <c r="F167" s="766" t="s">
        <v>263</v>
      </c>
      <c r="G167" s="924"/>
      <c r="H167" s="922"/>
      <c r="I167" s="923"/>
      <c r="J167" s="198" t="str">
        <f t="shared" si="16"/>
        <v/>
      </c>
      <c r="K167" s="31"/>
      <c r="L167" s="43"/>
      <c r="M167" s="21"/>
      <c r="N167" s="21"/>
      <c r="O167" s="21"/>
      <c r="P167" s="21"/>
      <c r="Q167" s="21"/>
      <c r="R167" s="21"/>
      <c r="S167" s="21"/>
      <c r="T167" s="849" t="s">
        <v>640</v>
      </c>
      <c r="U167" s="849"/>
      <c r="V167" s="21"/>
    </row>
    <row r="168" spans="1:22" s="2" customFormat="1" ht="30" customHeight="1" x14ac:dyDescent="0.25">
      <c r="A168" s="541"/>
      <c r="B168" s="242" t="s">
        <v>257</v>
      </c>
      <c r="C168" s="342" t="s">
        <v>2522</v>
      </c>
      <c r="D168" s="100">
        <f t="shared" si="13"/>
        <v>618</v>
      </c>
      <c r="E168" s="427" t="s">
        <v>174</v>
      </c>
      <c r="F168" s="766" t="s">
        <v>2795</v>
      </c>
      <c r="G168" s="924"/>
      <c r="H168" s="922"/>
      <c r="I168" s="923"/>
      <c r="J168" s="198" t="str">
        <f t="shared" si="16"/>
        <v/>
      </c>
      <c r="K168" s="31"/>
      <c r="L168" s="43"/>
      <c r="M168" s="21"/>
      <c r="N168" s="21"/>
      <c r="O168" s="21"/>
      <c r="P168" s="21"/>
      <c r="Q168" s="21"/>
      <c r="R168" s="21"/>
      <c r="S168" s="21"/>
      <c r="T168" s="849"/>
      <c r="U168" s="849"/>
      <c r="V168" s="21"/>
    </row>
    <row r="169" spans="1:22" s="2" customFormat="1" ht="30" customHeight="1" x14ac:dyDescent="0.25">
      <c r="A169" s="559" t="s">
        <v>234</v>
      </c>
      <c r="B169" s="357"/>
      <c r="C169" s="356"/>
      <c r="D169" s="429"/>
      <c r="E169" s="429"/>
      <c r="F169" s="714"/>
      <c r="G169" s="924"/>
      <c r="H169" s="922"/>
      <c r="I169" s="923"/>
      <c r="J169" s="98"/>
      <c r="K169" s="31"/>
      <c r="L169" s="43"/>
      <c r="M169" s="21"/>
      <c r="N169" s="21"/>
      <c r="O169" s="21"/>
      <c r="P169" s="21"/>
      <c r="Q169" s="21"/>
      <c r="R169" s="21"/>
      <c r="S169" s="21"/>
      <c r="T169" s="21"/>
      <c r="U169" s="21"/>
      <c r="V169" s="21"/>
    </row>
    <row r="170" spans="1:22" s="2" customFormat="1" ht="30" customHeight="1" x14ac:dyDescent="0.25">
      <c r="A170" s="538">
        <f>A160+1</f>
        <v>46</v>
      </c>
      <c r="B170" s="241" t="s">
        <v>41</v>
      </c>
      <c r="C170" s="342" t="s">
        <v>1108</v>
      </c>
      <c r="D170" s="100">
        <f>D168+1</f>
        <v>619</v>
      </c>
      <c r="E170" s="427" t="s">
        <v>171</v>
      </c>
      <c r="F170" s="699" t="s">
        <v>2796</v>
      </c>
      <c r="G170" s="924"/>
      <c r="H170" s="922" t="s">
        <v>802</v>
      </c>
      <c r="I170" s="923"/>
      <c r="J170" s="198" t="str">
        <f t="shared" ref="J170:J178" si="17">IF(LEN(F170)&gt;0,"","Belum Terisi")</f>
        <v/>
      </c>
      <c r="K170" s="31"/>
      <c r="L170" s="31"/>
      <c r="M170" s="21"/>
      <c r="N170" s="21"/>
      <c r="O170" s="21"/>
      <c r="P170" s="21"/>
      <c r="Q170" s="21"/>
      <c r="R170" s="21"/>
      <c r="S170" s="21"/>
      <c r="T170" s="21"/>
      <c r="U170" s="21"/>
      <c r="V170" s="21"/>
    </row>
    <row r="171" spans="1:22" s="2" customFormat="1" ht="30" customHeight="1" x14ac:dyDescent="0.25">
      <c r="A171" s="542"/>
      <c r="B171" s="242" t="s">
        <v>139</v>
      </c>
      <c r="C171" s="342" t="s">
        <v>1109</v>
      </c>
      <c r="D171" s="100">
        <f t="shared" si="13"/>
        <v>620</v>
      </c>
      <c r="E171" s="427" t="s">
        <v>171</v>
      </c>
      <c r="F171" s="699" t="s">
        <v>2796</v>
      </c>
      <c r="G171" s="924"/>
      <c r="H171" s="922" t="s">
        <v>799</v>
      </c>
      <c r="I171" s="923"/>
      <c r="J171" s="198" t="str">
        <f t="shared" si="17"/>
        <v/>
      </c>
      <c r="K171" s="31"/>
      <c r="L171" s="43"/>
      <c r="M171" s="21"/>
      <c r="N171" s="21"/>
      <c r="O171" s="21"/>
      <c r="P171" s="21"/>
      <c r="Q171" s="21"/>
      <c r="R171" s="21"/>
      <c r="S171" s="21"/>
      <c r="T171" s="21"/>
      <c r="U171" s="21"/>
      <c r="V171" s="21"/>
    </row>
    <row r="172" spans="1:22" s="2" customFormat="1" ht="30" customHeight="1" x14ac:dyDescent="0.25">
      <c r="A172" s="542"/>
      <c r="B172" s="242" t="s">
        <v>251</v>
      </c>
      <c r="C172" s="342" t="s">
        <v>1110</v>
      </c>
      <c r="D172" s="100">
        <f t="shared" si="13"/>
        <v>621</v>
      </c>
      <c r="E172" s="427" t="s">
        <v>171</v>
      </c>
      <c r="F172" s="699" t="s">
        <v>2796</v>
      </c>
      <c r="G172" s="924"/>
      <c r="H172" s="922" t="s">
        <v>800</v>
      </c>
      <c r="I172" s="923"/>
      <c r="J172" s="198" t="str">
        <f t="shared" si="17"/>
        <v/>
      </c>
      <c r="K172" s="31"/>
      <c r="L172" s="43"/>
      <c r="M172" s="21"/>
      <c r="N172" s="21"/>
      <c r="O172" s="21"/>
      <c r="P172" s="21"/>
      <c r="Q172" s="21"/>
      <c r="R172" s="21"/>
      <c r="S172" s="21"/>
      <c r="T172" s="21"/>
      <c r="U172" s="21"/>
      <c r="V172" s="21"/>
    </row>
    <row r="173" spans="1:22" s="2" customFormat="1" ht="30" customHeight="1" x14ac:dyDescent="0.25">
      <c r="A173" s="542"/>
      <c r="B173" s="242" t="s">
        <v>255</v>
      </c>
      <c r="C173" s="342" t="s">
        <v>1111</v>
      </c>
      <c r="D173" s="100">
        <f t="shared" si="13"/>
        <v>622</v>
      </c>
      <c r="E173" s="427" t="s">
        <v>171</v>
      </c>
      <c r="F173" s="699" t="s">
        <v>2796</v>
      </c>
      <c r="G173" s="924"/>
      <c r="H173" s="922" t="s">
        <v>801</v>
      </c>
      <c r="I173" s="923"/>
      <c r="J173" s="198" t="str">
        <f t="shared" si="17"/>
        <v/>
      </c>
      <c r="K173" s="31"/>
      <c r="L173" s="31"/>
      <c r="M173" s="21"/>
      <c r="N173" s="21"/>
      <c r="O173" s="21"/>
      <c r="P173" s="21"/>
      <c r="Q173" s="21"/>
      <c r="R173" s="21"/>
      <c r="S173" s="21"/>
      <c r="T173" s="21"/>
      <c r="U173" s="21"/>
      <c r="V173" s="21"/>
    </row>
    <row r="174" spans="1:22" s="2" customFormat="1" ht="30" customHeight="1" x14ac:dyDescent="0.25">
      <c r="A174" s="542"/>
      <c r="B174" s="242" t="s">
        <v>252</v>
      </c>
      <c r="C174" s="342" t="s">
        <v>1112</v>
      </c>
      <c r="D174" s="100">
        <f t="shared" si="13"/>
        <v>623</v>
      </c>
      <c r="E174" s="427" t="s">
        <v>171</v>
      </c>
      <c r="F174" s="699" t="s">
        <v>2796</v>
      </c>
      <c r="G174" s="924"/>
      <c r="H174" s="922" t="s">
        <v>803</v>
      </c>
      <c r="I174" s="923"/>
      <c r="J174" s="198" t="str">
        <f t="shared" si="17"/>
        <v/>
      </c>
      <c r="K174" s="31"/>
      <c r="L174" s="43"/>
      <c r="M174" s="21"/>
      <c r="N174" s="21"/>
      <c r="O174" s="21"/>
      <c r="P174" s="21"/>
      <c r="Q174" s="21"/>
      <c r="R174" s="21"/>
      <c r="S174" s="21"/>
      <c r="T174" s="21"/>
      <c r="U174" s="21"/>
      <c r="V174" s="21"/>
    </row>
    <row r="175" spans="1:22" s="2" customFormat="1" ht="30" customHeight="1" x14ac:dyDescent="0.25">
      <c r="A175" s="542"/>
      <c r="B175" s="242" t="s">
        <v>253</v>
      </c>
      <c r="C175" s="342" t="s">
        <v>1113</v>
      </c>
      <c r="D175" s="100">
        <f t="shared" si="13"/>
        <v>624</v>
      </c>
      <c r="E175" s="427" t="s">
        <v>171</v>
      </c>
      <c r="F175" s="699" t="s">
        <v>2796</v>
      </c>
      <c r="G175" s="924"/>
      <c r="H175" s="922" t="s">
        <v>727</v>
      </c>
      <c r="I175" s="923"/>
      <c r="J175" s="198" t="str">
        <f t="shared" si="17"/>
        <v/>
      </c>
      <c r="K175" s="31"/>
      <c r="L175" s="43"/>
      <c r="M175" s="21"/>
      <c r="N175" s="21"/>
      <c r="O175" s="21"/>
      <c r="P175" s="21"/>
      <c r="Q175" s="21"/>
      <c r="R175" s="21"/>
      <c r="S175" s="21"/>
      <c r="T175" s="21"/>
      <c r="U175" s="21"/>
      <c r="V175" s="21"/>
    </row>
    <row r="176" spans="1:22" s="2" customFormat="1" ht="30" customHeight="1" x14ac:dyDescent="0.25">
      <c r="A176" s="542"/>
      <c r="B176" s="242" t="s">
        <v>254</v>
      </c>
      <c r="C176" s="342" t="s">
        <v>1114</v>
      </c>
      <c r="D176" s="100">
        <f t="shared" si="13"/>
        <v>625</v>
      </c>
      <c r="E176" s="427" t="s">
        <v>171</v>
      </c>
      <c r="F176" s="699" t="s">
        <v>2796</v>
      </c>
      <c r="G176" s="924"/>
      <c r="H176" s="922" t="s">
        <v>804</v>
      </c>
      <c r="I176" s="923"/>
      <c r="J176" s="198" t="str">
        <f t="shared" si="17"/>
        <v/>
      </c>
      <c r="K176" s="31"/>
      <c r="L176" s="43"/>
      <c r="M176" s="21"/>
      <c r="N176" s="21"/>
      <c r="O176" s="21"/>
      <c r="P176" s="21"/>
      <c r="Q176" s="21"/>
      <c r="R176" s="21"/>
      <c r="S176" s="21"/>
      <c r="T176" s="21"/>
      <c r="U176" s="21"/>
      <c r="V176" s="21"/>
    </row>
    <row r="177" spans="1:22" s="2" customFormat="1" ht="30" customHeight="1" x14ac:dyDescent="0.25">
      <c r="A177" s="542"/>
      <c r="B177" s="242" t="s">
        <v>256</v>
      </c>
      <c r="C177" s="342" t="s">
        <v>1115</v>
      </c>
      <c r="D177" s="100">
        <f t="shared" si="13"/>
        <v>626</v>
      </c>
      <c r="E177" s="427" t="s">
        <v>171</v>
      </c>
      <c r="F177" s="699" t="s">
        <v>2796</v>
      </c>
      <c r="G177" s="924"/>
      <c r="H177" s="922" t="s">
        <v>805</v>
      </c>
      <c r="I177" s="923"/>
      <c r="J177" s="198" t="str">
        <f t="shared" si="17"/>
        <v/>
      </c>
      <c r="K177" s="31"/>
      <c r="L177" s="43"/>
      <c r="M177" s="21"/>
      <c r="N177" s="847" t="s">
        <v>668</v>
      </c>
      <c r="O177" s="21"/>
      <c r="P177" s="21"/>
      <c r="Q177" s="21"/>
      <c r="R177" s="21"/>
      <c r="S177" s="21"/>
      <c r="T177" s="21"/>
      <c r="U177" s="21"/>
      <c r="V177" s="21"/>
    </row>
    <row r="178" spans="1:22" s="2" customFormat="1" ht="30" customHeight="1" x14ac:dyDescent="0.25">
      <c r="A178" s="541"/>
      <c r="B178" s="354" t="s">
        <v>257</v>
      </c>
      <c r="C178" s="342" t="s">
        <v>1116</v>
      </c>
      <c r="D178" s="100">
        <f t="shared" si="13"/>
        <v>627</v>
      </c>
      <c r="E178" s="427" t="s">
        <v>174</v>
      </c>
      <c r="F178" s="699" t="s">
        <v>2797</v>
      </c>
      <c r="G178" s="924"/>
      <c r="H178" s="923" t="s">
        <v>806</v>
      </c>
      <c r="I178" s="923"/>
      <c r="J178" s="198" t="str">
        <f t="shared" si="17"/>
        <v/>
      </c>
      <c r="K178" s="31"/>
      <c r="L178" s="31"/>
      <c r="M178" s="21"/>
      <c r="N178" s="21"/>
      <c r="O178" s="21"/>
      <c r="P178" s="21"/>
      <c r="Q178" s="21"/>
      <c r="R178" s="21"/>
      <c r="S178" s="21"/>
      <c r="T178" s="21"/>
      <c r="U178" s="21"/>
      <c r="V178" s="21"/>
    </row>
    <row r="179" spans="1:22" s="25" customFormat="1" ht="30" customHeight="1" x14ac:dyDescent="0.25">
      <c r="A179" s="559" t="s">
        <v>180</v>
      </c>
      <c r="B179" s="358"/>
      <c r="C179" s="356"/>
      <c r="D179" s="428"/>
      <c r="E179" s="440"/>
      <c r="F179" s="714"/>
      <c r="G179" s="921"/>
      <c r="H179" s="922"/>
      <c r="I179" s="923"/>
      <c r="J179" s="202"/>
      <c r="K179" s="31"/>
      <c r="L179" s="43"/>
      <c r="M179" s="849"/>
      <c r="N179" s="849"/>
      <c r="O179" s="849"/>
      <c r="P179" s="849"/>
      <c r="Q179" s="849"/>
      <c r="R179" s="849"/>
      <c r="S179" s="849"/>
      <c r="T179" s="849"/>
      <c r="U179" s="849"/>
      <c r="V179" s="849"/>
    </row>
    <row r="180" spans="1:22" s="2" customFormat="1" ht="30" customHeight="1" x14ac:dyDescent="0.25">
      <c r="A180" s="559" t="s">
        <v>230</v>
      </c>
      <c r="B180" s="357"/>
      <c r="C180" s="356"/>
      <c r="D180" s="428"/>
      <c r="E180" s="429"/>
      <c r="F180" s="714"/>
      <c r="G180" s="924"/>
      <c r="H180" s="922"/>
      <c r="I180" s="923"/>
      <c r="J180" s="98"/>
      <c r="K180" s="31"/>
      <c r="L180" s="43"/>
      <c r="M180" s="21"/>
      <c r="N180" s="21"/>
      <c r="O180" s="21"/>
      <c r="P180" s="21"/>
      <c r="Q180" s="21"/>
      <c r="R180" s="21"/>
      <c r="S180" s="21"/>
      <c r="T180" s="21"/>
      <c r="U180" s="21"/>
      <c r="V180" s="21"/>
    </row>
    <row r="181" spans="1:22" s="2" customFormat="1" ht="30" customHeight="1" x14ac:dyDescent="0.25">
      <c r="A181" s="559" t="s">
        <v>231</v>
      </c>
      <c r="B181" s="357"/>
      <c r="C181" s="356"/>
      <c r="D181" s="428"/>
      <c r="E181" s="429"/>
      <c r="F181" s="714"/>
      <c r="G181" s="924"/>
      <c r="H181" s="922"/>
      <c r="I181" s="923"/>
      <c r="J181" s="98"/>
      <c r="K181" s="31"/>
      <c r="L181" s="31"/>
      <c r="M181" s="21"/>
      <c r="N181" s="21"/>
      <c r="O181" s="21"/>
      <c r="P181" s="21"/>
      <c r="Q181" s="21"/>
      <c r="R181" s="21"/>
      <c r="S181" s="21"/>
      <c r="T181" s="21"/>
      <c r="U181" s="21"/>
      <c r="V181" s="21"/>
    </row>
    <row r="182" spans="1:22" s="2" customFormat="1" ht="30" customHeight="1" x14ac:dyDescent="0.25">
      <c r="A182" s="538">
        <f>A170+1</f>
        <v>47</v>
      </c>
      <c r="B182" s="359"/>
      <c r="C182" s="360" t="s">
        <v>1117</v>
      </c>
      <c r="D182" s="100">
        <f>D178+1</f>
        <v>628</v>
      </c>
      <c r="E182" s="427" t="s">
        <v>171</v>
      </c>
      <c r="F182" s="693" t="s">
        <v>263</v>
      </c>
      <c r="G182" s="924"/>
      <c r="H182" s="922" t="s">
        <v>791</v>
      </c>
      <c r="I182" s="923"/>
      <c r="J182" s="198" t="str">
        <f>IF(LEN(F182)&gt;0,"","Belum Terisi")</f>
        <v/>
      </c>
      <c r="K182" s="31"/>
      <c r="L182" s="43"/>
      <c r="M182" s="21"/>
      <c r="N182" s="21"/>
      <c r="O182" s="21"/>
      <c r="P182" s="21"/>
      <c r="Q182" s="21"/>
      <c r="R182" s="21"/>
      <c r="S182" s="21"/>
      <c r="T182" s="21"/>
      <c r="U182" s="21"/>
      <c r="V182" s="21"/>
    </row>
    <row r="183" spans="1:22" s="2" customFormat="1" ht="40.15" customHeight="1" x14ac:dyDescent="0.25">
      <c r="A183" s="542"/>
      <c r="B183" s="242" t="s">
        <v>41</v>
      </c>
      <c r="C183" s="361" t="s">
        <v>789</v>
      </c>
      <c r="D183" s="100">
        <f t="shared" ref="D183:D246" si="18">D182+1</f>
        <v>629</v>
      </c>
      <c r="E183" s="504" t="s">
        <v>174</v>
      </c>
      <c r="F183" s="767" t="s">
        <v>240</v>
      </c>
      <c r="G183" s="924"/>
      <c r="H183" s="922" t="s">
        <v>792</v>
      </c>
      <c r="I183" s="923"/>
      <c r="J183" s="198" t="str">
        <f>IF(F183="","Belum Terisi",IF(AND(F182="Tidak Ada",F183&lt;&gt;"-"),"CEK",IF(AND(F182="Ada",F183="-"),"CEK","")))</f>
        <v/>
      </c>
      <c r="K183" s="31" t="str">
        <f>IF(J183="CEK",F182&amp;" Wisata Pantai","")</f>
        <v/>
      </c>
      <c r="L183" s="43"/>
      <c r="M183" s="21"/>
      <c r="N183" s="21"/>
      <c r="O183" s="21"/>
      <c r="P183" s="21"/>
      <c r="Q183" s="21"/>
      <c r="R183" s="21"/>
      <c r="S183" s="21"/>
      <c r="T183" s="21"/>
      <c r="U183" s="21"/>
      <c r="V183" s="21"/>
    </row>
    <row r="184" spans="1:22" s="2" customFormat="1" ht="40.15" customHeight="1" x14ac:dyDescent="0.25">
      <c r="A184" s="542"/>
      <c r="B184" s="242" t="s">
        <v>139</v>
      </c>
      <c r="C184" s="342" t="s">
        <v>1134</v>
      </c>
      <c r="D184" s="100">
        <f t="shared" si="18"/>
        <v>630</v>
      </c>
      <c r="E184" s="427" t="s">
        <v>174</v>
      </c>
      <c r="F184" s="767" t="s">
        <v>240</v>
      </c>
      <c r="G184" s="924"/>
      <c r="H184" s="922" t="s">
        <v>793</v>
      </c>
      <c r="I184" s="923"/>
      <c r="J184" s="198" t="str">
        <f>IF(F184="","Belum Terisi",IF(AND(F182="Tidak Ada",F184&lt;&gt;"-"),"CEK",IF(AND(F182="Ada",F184="-"),"CEK","")))</f>
        <v/>
      </c>
      <c r="K184" s="31" t="str">
        <f>IF(J184="CEK",F182&amp;" Wisata Pantai","")</f>
        <v/>
      </c>
      <c r="L184" s="43"/>
      <c r="M184" s="21"/>
      <c r="N184" s="21"/>
      <c r="O184" s="21"/>
      <c r="P184" s="21"/>
      <c r="Q184" s="21"/>
      <c r="R184" s="21"/>
      <c r="S184" s="21"/>
      <c r="T184" s="21"/>
      <c r="U184" s="21"/>
      <c r="V184" s="21"/>
    </row>
    <row r="185" spans="1:22" s="2" customFormat="1" ht="40.15" customHeight="1" x14ac:dyDescent="0.25">
      <c r="A185" s="542"/>
      <c r="B185" s="242" t="s">
        <v>251</v>
      </c>
      <c r="C185" s="362" t="s">
        <v>790</v>
      </c>
      <c r="D185" s="100">
        <f t="shared" si="18"/>
        <v>631</v>
      </c>
      <c r="E185" s="463" t="s">
        <v>174</v>
      </c>
      <c r="F185" s="767" t="s">
        <v>240</v>
      </c>
      <c r="G185" s="924"/>
      <c r="H185" s="922"/>
      <c r="I185" s="923"/>
      <c r="J185" s="198" t="str">
        <f>IF(F185="","Belum Terisi",IF(AND(F182="Tidak Ada",F185&lt;&gt;"-"),"CEK",IF(AND(F182="Ada",F185="-"),"CEK","")))</f>
        <v/>
      </c>
      <c r="K185" s="31" t="str">
        <f>IF(J185="CEK",F182&amp;" Wisata Pantai","")</f>
        <v/>
      </c>
      <c r="L185" s="43"/>
      <c r="M185" s="21"/>
      <c r="N185" s="21"/>
      <c r="O185" s="21"/>
      <c r="P185" s="21"/>
      <c r="Q185" s="21"/>
      <c r="R185" s="21"/>
      <c r="S185" s="21"/>
      <c r="T185" s="21"/>
      <c r="U185" s="21"/>
      <c r="V185" s="21"/>
    </row>
    <row r="186" spans="1:22" s="2" customFormat="1" ht="30" customHeight="1" x14ac:dyDescent="0.25">
      <c r="A186" s="542"/>
      <c r="B186" s="242" t="s">
        <v>255</v>
      </c>
      <c r="C186" s="342" t="s">
        <v>1150</v>
      </c>
      <c r="D186" s="100">
        <f t="shared" si="18"/>
        <v>632</v>
      </c>
      <c r="E186" s="427" t="s">
        <v>171</v>
      </c>
      <c r="F186" s="694" t="s">
        <v>263</v>
      </c>
      <c r="G186" s="924"/>
      <c r="H186" s="922" t="s">
        <v>2782</v>
      </c>
      <c r="I186" s="923"/>
      <c r="J186" s="198" t="str">
        <f>IF(F186="","Belum Terisi",IF(AND(F182="Tidak Ada",F186&lt;&gt;"Tidak Ada"),"CEK",IF(AND(F182="Ada",F186="Tidak Ada"),"CEK","")))</f>
        <v/>
      </c>
      <c r="K186" s="31" t="str">
        <f>IF(J186="CEK",F182&amp;" Wisata Pantai","")</f>
        <v/>
      </c>
      <c r="L186" s="43"/>
      <c r="M186" s="21"/>
      <c r="N186" s="21"/>
      <c r="O186" s="21"/>
      <c r="P186" s="21"/>
      <c r="Q186" s="21"/>
      <c r="R186" s="21"/>
      <c r="S186" s="21"/>
      <c r="T186" s="21"/>
      <c r="U186" s="21"/>
      <c r="V186" s="21"/>
    </row>
    <row r="187" spans="1:22" s="2" customFormat="1" ht="30" customHeight="1" x14ac:dyDescent="0.25">
      <c r="A187" s="542"/>
      <c r="B187" s="242" t="s">
        <v>252</v>
      </c>
      <c r="C187" s="342" t="s">
        <v>663</v>
      </c>
      <c r="D187" s="100">
        <f t="shared" si="18"/>
        <v>633</v>
      </c>
      <c r="E187" s="427" t="s">
        <v>171</v>
      </c>
      <c r="F187" s="694" t="s">
        <v>263</v>
      </c>
      <c r="G187" s="924"/>
      <c r="H187" s="922" t="s">
        <v>794</v>
      </c>
      <c r="I187" s="923"/>
      <c r="J187" s="198" t="str">
        <f>IF(F187="","Belum Terisi",IF(AND(F182="Tidak Ada",F187&lt;&gt;"Tidak Ada"),"CEK",IF(AND(F182="Ada",F187="Tidak Ada"),"CEK","")))</f>
        <v/>
      </c>
      <c r="K187" s="31" t="str">
        <f>IF(J187="CEK",F182&amp;" Wisata Pantai","")</f>
        <v/>
      </c>
      <c r="L187" s="43"/>
      <c r="M187" s="21"/>
      <c r="N187" s="21"/>
      <c r="O187" s="21"/>
      <c r="P187" s="21"/>
      <c r="Q187" s="21"/>
      <c r="R187" s="21"/>
      <c r="S187" s="21"/>
      <c r="T187" s="21"/>
      <c r="U187" s="21"/>
      <c r="V187" s="21"/>
    </row>
    <row r="188" spans="1:22" s="2" customFormat="1" ht="40.15" customHeight="1" x14ac:dyDescent="0.25">
      <c r="A188" s="542"/>
      <c r="B188" s="242" t="s">
        <v>253</v>
      </c>
      <c r="C188" s="342" t="s">
        <v>807</v>
      </c>
      <c r="D188" s="100">
        <f t="shared" si="18"/>
        <v>634</v>
      </c>
      <c r="E188" s="427" t="s">
        <v>171</v>
      </c>
      <c r="F188" s="694" t="s">
        <v>263</v>
      </c>
      <c r="G188" s="924"/>
      <c r="H188" s="922" t="s">
        <v>2478</v>
      </c>
      <c r="I188" s="923"/>
      <c r="J188" s="198" t="str">
        <f>IF(F188="","Belum Terisi",IF(AND(F182="Tidak Ada",F188&lt;&gt;"Tidak Ada"),"CEK",IF(AND(F182="Ada",F188="Tidak Ada"),"CEK","")))</f>
        <v/>
      </c>
      <c r="K188" s="31" t="str">
        <f>IF(J188="CEK",F182&amp;" Wisata Pantai","")</f>
        <v/>
      </c>
      <c r="L188" s="43"/>
      <c r="M188" s="21"/>
      <c r="N188" s="21"/>
      <c r="O188" s="21"/>
      <c r="P188" s="21"/>
      <c r="Q188" s="21"/>
      <c r="R188" s="21"/>
      <c r="S188" s="21"/>
      <c r="T188" s="21"/>
      <c r="U188" s="21"/>
      <c r="V188" s="21"/>
    </row>
    <row r="189" spans="1:22" s="2" customFormat="1" ht="30" customHeight="1" x14ac:dyDescent="0.25">
      <c r="A189" s="542"/>
      <c r="B189" s="242" t="s">
        <v>254</v>
      </c>
      <c r="C189" s="342" t="s">
        <v>662</v>
      </c>
      <c r="D189" s="100">
        <f t="shared" si="18"/>
        <v>635</v>
      </c>
      <c r="E189" s="427" t="s">
        <v>171</v>
      </c>
      <c r="F189" s="694" t="s">
        <v>263</v>
      </c>
      <c r="G189" s="924"/>
      <c r="H189" s="922" t="s">
        <v>2479</v>
      </c>
      <c r="I189" s="923"/>
      <c r="J189" s="198" t="str">
        <f>IF(F189="","Belum Terisi",IF(AND(F182="Tidak Ada",F189&lt;&gt;"Tidak Ada"),"CEK",IF(AND(F182="Ada",F189="Tidak Ada"),"CEK",IF(AND(F182="Ada",F187="&lt;500 meter",OR(F189="500-1.000 meter",F189="1.000-1.500 meter",F189="&gt;1.500 meter")),"CEK",""))))</f>
        <v/>
      </c>
      <c r="K189" s="31" t="str">
        <f>IF(AND(J189="CEK",F182="Tidak Ada"),F182&amp;" Wisata Pantai",IF(AND(J189="CEK",F187="&lt;500 meter",OR(F189="500-1.000 meter",F189="1.000-1.500 meter",F189="&gt;1.500 meter")),"Panjang Jalan Rusak Melebihi Jarak Menuju Objek Wisata Pantai",""))</f>
        <v/>
      </c>
      <c r="L189" s="43"/>
      <c r="M189" s="21"/>
      <c r="N189" s="21"/>
      <c r="O189" s="21"/>
      <c r="P189" s="21"/>
      <c r="Q189" s="21"/>
      <c r="R189" s="21"/>
      <c r="S189" s="21"/>
      <c r="T189" s="21"/>
      <c r="U189" s="21"/>
      <c r="V189" s="21"/>
    </row>
    <row r="190" spans="1:22" s="2" customFormat="1" ht="30" customHeight="1" x14ac:dyDescent="0.25">
      <c r="A190" s="541"/>
      <c r="B190" s="242" t="s">
        <v>256</v>
      </c>
      <c r="C190" s="342" t="s">
        <v>661</v>
      </c>
      <c r="D190" s="100">
        <f t="shared" si="18"/>
        <v>636</v>
      </c>
      <c r="E190" s="427" t="s">
        <v>171</v>
      </c>
      <c r="F190" s="697" t="s">
        <v>263</v>
      </c>
      <c r="G190" s="924"/>
      <c r="H190" s="922" t="s">
        <v>2781</v>
      </c>
      <c r="I190" s="923"/>
      <c r="J190" s="198" t="str">
        <f>IF(F190="","Belum Terisi",IF(AND(F182="tidak Ada",F190&lt;&gt;"Tidak Ada"),"CEK",""))</f>
        <v/>
      </c>
      <c r="K190" s="31"/>
      <c r="L190" s="43"/>
      <c r="M190" s="21"/>
      <c r="N190" s="21"/>
      <c r="O190" s="21"/>
      <c r="P190" s="21"/>
      <c r="Q190" s="21"/>
      <c r="R190" s="21"/>
      <c r="S190" s="21"/>
      <c r="T190" s="21"/>
      <c r="U190" s="21"/>
      <c r="V190" s="21"/>
    </row>
    <row r="191" spans="1:22" s="2" customFormat="1" ht="30" customHeight="1" x14ac:dyDescent="0.25">
      <c r="A191" s="538">
        <f>A182+1</f>
        <v>48</v>
      </c>
      <c r="B191" s="359"/>
      <c r="C191" s="360" t="s">
        <v>1118</v>
      </c>
      <c r="D191" s="100">
        <f t="shared" si="18"/>
        <v>637</v>
      </c>
      <c r="E191" s="427" t="s">
        <v>171</v>
      </c>
      <c r="F191" s="693" t="s">
        <v>263</v>
      </c>
      <c r="G191" s="924"/>
      <c r="H191" s="922" t="s">
        <v>795</v>
      </c>
      <c r="I191" s="923"/>
      <c r="J191" s="198" t="str">
        <f>IF(LEN(F191)&gt;0,"","Belum Terisi")</f>
        <v/>
      </c>
      <c r="K191" s="31"/>
      <c r="L191" s="31"/>
      <c r="M191" s="21"/>
      <c r="N191" s="21"/>
      <c r="O191" s="21"/>
      <c r="P191" s="21"/>
      <c r="Q191" s="21"/>
      <c r="R191" s="21"/>
      <c r="S191" s="21"/>
      <c r="T191" s="21"/>
      <c r="U191" s="21"/>
      <c r="V191" s="21"/>
    </row>
    <row r="192" spans="1:22" s="2" customFormat="1" ht="40.15" customHeight="1" x14ac:dyDescent="0.25">
      <c r="A192" s="542"/>
      <c r="B192" s="242" t="s">
        <v>41</v>
      </c>
      <c r="C192" s="361" t="s">
        <v>789</v>
      </c>
      <c r="D192" s="100">
        <f t="shared" si="18"/>
        <v>638</v>
      </c>
      <c r="E192" s="504" t="s">
        <v>174</v>
      </c>
      <c r="F192" s="767" t="s">
        <v>240</v>
      </c>
      <c r="G192" s="924"/>
      <c r="H192" s="922" t="s">
        <v>796</v>
      </c>
      <c r="I192" s="923"/>
      <c r="J192" s="198" t="str">
        <f>IF(F192="","Belum Terisi",IF(AND(F191="Tidak Ada",F192&lt;&gt;"-"),"CEK",IF(AND(F191="Ada",F192="-"),"CEK","")))</f>
        <v/>
      </c>
      <c r="K192" s="31" t="str">
        <f>IF(J192="CEK",F191&amp;" Wisata Pegunungan","")</f>
        <v/>
      </c>
      <c r="L192" s="43"/>
      <c r="M192" s="21"/>
      <c r="N192" s="21"/>
      <c r="O192" s="21"/>
      <c r="P192" s="21"/>
      <c r="Q192" s="21"/>
      <c r="R192" s="21"/>
      <c r="S192" s="21"/>
      <c r="T192" s="21"/>
      <c r="U192" s="21"/>
      <c r="V192" s="21"/>
    </row>
    <row r="193" spans="1:22" s="2" customFormat="1" ht="40.15" customHeight="1" x14ac:dyDescent="0.25">
      <c r="A193" s="542"/>
      <c r="B193" s="242" t="s">
        <v>139</v>
      </c>
      <c r="C193" s="342" t="s">
        <v>1135</v>
      </c>
      <c r="D193" s="100">
        <f t="shared" si="18"/>
        <v>639</v>
      </c>
      <c r="E193" s="427" t="s">
        <v>174</v>
      </c>
      <c r="F193" s="767" t="s">
        <v>240</v>
      </c>
      <c r="G193" s="924"/>
      <c r="H193" s="922" t="s">
        <v>797</v>
      </c>
      <c r="I193" s="923"/>
      <c r="J193" s="198" t="str">
        <f>IF(F193="","Belum Terisi",IF(AND(F191="Tidak Ada",F193&lt;&gt;"-"),"CEK",IF(AND(F191="Ada",F193="-"),"CEK","")))</f>
        <v/>
      </c>
      <c r="K193" s="31" t="str">
        <f>IF(J193="CEK",F191&amp;" Wisata Pegunungan","")</f>
        <v/>
      </c>
      <c r="L193" s="43"/>
      <c r="M193" s="21"/>
      <c r="N193" s="21"/>
      <c r="O193" s="21"/>
      <c r="P193" s="21"/>
      <c r="Q193" s="21"/>
      <c r="R193" s="21"/>
      <c r="S193" s="21"/>
      <c r="T193" s="21"/>
      <c r="U193" s="21"/>
      <c r="V193" s="21"/>
    </row>
    <row r="194" spans="1:22" s="2" customFormat="1" ht="40.15" customHeight="1" x14ac:dyDescent="0.25">
      <c r="A194" s="542"/>
      <c r="B194" s="242" t="s">
        <v>251</v>
      </c>
      <c r="C194" s="362" t="s">
        <v>790</v>
      </c>
      <c r="D194" s="100">
        <f t="shared" si="18"/>
        <v>640</v>
      </c>
      <c r="E194" s="463" t="s">
        <v>174</v>
      </c>
      <c r="F194" s="767" t="s">
        <v>240</v>
      </c>
      <c r="G194" s="924"/>
      <c r="H194" s="922" t="s">
        <v>798</v>
      </c>
      <c r="I194" s="923"/>
      <c r="J194" s="198" t="str">
        <f>IF(F194="","Belum Terisi",IF(AND(F191="Tidak Ada",F194&lt;&gt;"-"),"CEK",IF(AND(F191="Ada",F194="-"),"CEK","")))</f>
        <v/>
      </c>
      <c r="K194" s="31" t="str">
        <f>IF(J194="CEK",F191&amp;" Wisata Pegunungan","")</f>
        <v/>
      </c>
      <c r="L194" s="43"/>
      <c r="M194" s="21"/>
      <c r="N194" s="21"/>
      <c r="O194" s="21"/>
      <c r="P194" s="21"/>
      <c r="Q194" s="21"/>
      <c r="R194" s="21"/>
      <c r="S194" s="21"/>
      <c r="T194" s="21"/>
      <c r="U194" s="21"/>
      <c r="V194" s="21"/>
    </row>
    <row r="195" spans="1:22" s="2" customFormat="1" ht="30" customHeight="1" x14ac:dyDescent="0.25">
      <c r="A195" s="542"/>
      <c r="B195" s="242" t="s">
        <v>255</v>
      </c>
      <c r="C195" s="342" t="s">
        <v>1151</v>
      </c>
      <c r="D195" s="100">
        <f t="shared" si="18"/>
        <v>641</v>
      </c>
      <c r="E195" s="427" t="s">
        <v>171</v>
      </c>
      <c r="F195" s="694" t="s">
        <v>263</v>
      </c>
      <c r="G195" s="924"/>
      <c r="H195" s="922" t="s">
        <v>808</v>
      </c>
      <c r="I195" s="923"/>
      <c r="J195" s="198" t="str">
        <f>IF(F195="","Belum Terisi",IF(AND(F191="Tidak Ada",F195&lt;&gt;"Tidak Ada"),"CEK",IF(AND(F191="Ada",F195="Tidak Ada"),"CEK","")))</f>
        <v/>
      </c>
      <c r="K195" s="31" t="str">
        <f>IF(J195="CEK",F191&amp;" Wisata Pegunungan","")</f>
        <v/>
      </c>
      <c r="L195" s="43"/>
      <c r="M195" s="21"/>
      <c r="N195" s="21"/>
      <c r="O195" s="21"/>
      <c r="P195" s="21"/>
      <c r="Q195" s="21"/>
      <c r="R195" s="21"/>
      <c r="S195" s="21"/>
      <c r="T195" s="21"/>
      <c r="U195" s="21"/>
      <c r="V195" s="21"/>
    </row>
    <row r="196" spans="1:22" s="2" customFormat="1" ht="30" customHeight="1" x14ac:dyDescent="0.25">
      <c r="A196" s="542"/>
      <c r="B196" s="242" t="s">
        <v>252</v>
      </c>
      <c r="C196" s="342" t="s">
        <v>663</v>
      </c>
      <c r="D196" s="100">
        <f t="shared" si="18"/>
        <v>642</v>
      </c>
      <c r="E196" s="427" t="s">
        <v>171</v>
      </c>
      <c r="F196" s="694" t="s">
        <v>263</v>
      </c>
      <c r="G196" s="924"/>
      <c r="H196" s="925"/>
      <c r="I196" s="923"/>
      <c r="J196" s="198" t="str">
        <f>IF(F196="","Belum Terisi",IF(AND(F191="Tidak Ada",F196&lt;&gt;"Tidak Ada"),"CEK",IF(AND(F191="Ada",F196="Tidak Ada"),"CEK","")))</f>
        <v/>
      </c>
      <c r="K196" s="31" t="str">
        <f>IF(J196="CEK",F191&amp;" Wisata Pegunungan","")</f>
        <v/>
      </c>
      <c r="L196" s="43"/>
      <c r="M196" s="21"/>
      <c r="N196" s="21"/>
      <c r="O196" s="21"/>
      <c r="P196" s="21"/>
      <c r="Q196" s="21"/>
      <c r="R196" s="21"/>
      <c r="S196" s="21"/>
      <c r="T196" s="21"/>
      <c r="U196" s="21"/>
      <c r="V196" s="21"/>
    </row>
    <row r="197" spans="1:22" s="2" customFormat="1" ht="30" customHeight="1" x14ac:dyDescent="0.25">
      <c r="A197" s="542"/>
      <c r="B197" s="242" t="s">
        <v>253</v>
      </c>
      <c r="C197" s="342" t="s">
        <v>807</v>
      </c>
      <c r="D197" s="100">
        <f t="shared" si="18"/>
        <v>643</v>
      </c>
      <c r="E197" s="427" t="s">
        <v>171</v>
      </c>
      <c r="F197" s="694" t="s">
        <v>263</v>
      </c>
      <c r="G197" s="925"/>
      <c r="H197" s="924"/>
      <c r="I197" s="923"/>
      <c r="J197" s="198" t="str">
        <f>IF(F197="","Belum Terisi",IF(AND(F191="Tidak Ada",F197&lt;&gt;"Tidak Ada"),"CEK",IF(AND(F191="Ada",F197="Tidak Ada"),"CEK","")))</f>
        <v/>
      </c>
      <c r="K197" s="31" t="str">
        <f>IF(J197="CEK",F191&amp;" Wisata Pegunungan","")</f>
        <v/>
      </c>
      <c r="L197" s="43"/>
      <c r="M197" s="21"/>
      <c r="N197" s="21"/>
      <c r="O197" s="21"/>
      <c r="P197" s="21"/>
      <c r="Q197" s="21"/>
      <c r="R197" s="21"/>
      <c r="S197" s="21"/>
      <c r="T197" s="21"/>
      <c r="U197" s="21"/>
      <c r="V197" s="21"/>
    </row>
    <row r="198" spans="1:22" s="2" customFormat="1" ht="30" customHeight="1" x14ac:dyDescent="0.25">
      <c r="A198" s="542"/>
      <c r="B198" s="242" t="s">
        <v>254</v>
      </c>
      <c r="C198" s="342" t="s">
        <v>662</v>
      </c>
      <c r="D198" s="100">
        <f t="shared" si="18"/>
        <v>644</v>
      </c>
      <c r="E198" s="427" t="s">
        <v>171</v>
      </c>
      <c r="F198" s="694" t="s">
        <v>263</v>
      </c>
      <c r="G198" s="925"/>
      <c r="H198" s="955">
        <v>11</v>
      </c>
      <c r="I198" s="923" t="s">
        <v>917</v>
      </c>
      <c r="J198" s="198" t="str">
        <f>IF(F198="","Belum Terisi",IF(AND(F191="Tidak Ada",F198&lt;&gt;"Tidak Ada"),"CEK",IF(AND(F191="Ada",F198="Tidak Ada"),"CEK",IF(AND(F191="Ada",F196="&lt;500 meter",OR(F198="500-1.000 meter",F198="1.000-1.500 meter",F198="&gt;1.500 meter")),"CEK",""))))</f>
        <v/>
      </c>
      <c r="K198" s="31" t="str">
        <f>IF(AND(J198="CEK",F191="Tidak Ada"),F191&amp;" Wisata Pegunungan",IF(AND(J198="CEK",F196="&lt;500 meter",OR(F198="500-1.000 meter",F198="1.000-1.500 meter",F198="&gt;1.500 meter")),"Panjang Jalan Rusak Melebihi Jarak Menuju Objek Wisata Pegunungan",""))</f>
        <v/>
      </c>
      <c r="L198" s="43"/>
      <c r="M198" s="21"/>
      <c r="N198" s="21"/>
      <c r="O198" s="21"/>
      <c r="P198" s="21"/>
      <c r="Q198" s="21"/>
      <c r="R198" s="21"/>
      <c r="S198" s="21"/>
      <c r="T198" s="21"/>
      <c r="U198" s="21"/>
      <c r="V198" s="21"/>
    </row>
    <row r="199" spans="1:22" s="2" customFormat="1" ht="30" customHeight="1" x14ac:dyDescent="0.25">
      <c r="A199" s="541"/>
      <c r="B199" s="242" t="s">
        <v>256</v>
      </c>
      <c r="C199" s="342" t="s">
        <v>661</v>
      </c>
      <c r="D199" s="100">
        <f t="shared" si="18"/>
        <v>645</v>
      </c>
      <c r="E199" s="427" t="s">
        <v>171</v>
      </c>
      <c r="F199" s="697" t="s">
        <v>263</v>
      </c>
      <c r="G199" s="925"/>
      <c r="H199" s="955" t="s">
        <v>2736</v>
      </c>
      <c r="I199" s="922" t="s">
        <v>263</v>
      </c>
      <c r="J199" s="198" t="str">
        <f>IF(F199="","Belum Terisi",IF(AND(F191="tidak Ada",F199&lt;&gt;"Tidak Ada"),"CEK",""))</f>
        <v/>
      </c>
      <c r="K199" s="31"/>
      <c r="L199" s="43"/>
      <c r="M199" s="21"/>
      <c r="N199" s="21"/>
      <c r="O199" s="21"/>
      <c r="P199" s="21"/>
      <c r="Q199" s="21"/>
      <c r="R199" s="21"/>
      <c r="S199" s="21"/>
      <c r="T199" s="21"/>
      <c r="U199" s="21"/>
      <c r="V199" s="21"/>
    </row>
    <row r="200" spans="1:22" s="2" customFormat="1" ht="30" customHeight="1" x14ac:dyDescent="0.25">
      <c r="A200" s="648">
        <f>A191+1</f>
        <v>49</v>
      </c>
      <c r="B200" s="359"/>
      <c r="C200" s="360" t="s">
        <v>1119</v>
      </c>
      <c r="D200" s="100">
        <f t="shared" si="18"/>
        <v>646</v>
      </c>
      <c r="E200" s="427" t="s">
        <v>171</v>
      </c>
      <c r="F200" s="693" t="s">
        <v>263</v>
      </c>
      <c r="G200" s="925"/>
      <c r="H200" s="955" t="s">
        <v>2751</v>
      </c>
      <c r="I200" s="922" t="s">
        <v>263</v>
      </c>
      <c r="J200" s="198" t="str">
        <f>IF(LEN(F200)&gt;0,"","Belum Terisi")</f>
        <v/>
      </c>
      <c r="K200" s="31"/>
      <c r="L200" s="43"/>
      <c r="M200" s="21"/>
      <c r="N200" s="21"/>
      <c r="O200" s="21"/>
      <c r="P200" s="21"/>
      <c r="Q200" s="21"/>
      <c r="R200" s="21"/>
      <c r="S200" s="21"/>
      <c r="T200" s="21"/>
      <c r="U200" s="21"/>
      <c r="V200" s="21"/>
    </row>
    <row r="201" spans="1:22" s="2" customFormat="1" ht="40.15" customHeight="1" x14ac:dyDescent="0.25">
      <c r="A201" s="542"/>
      <c r="B201" s="242" t="s">
        <v>41</v>
      </c>
      <c r="C201" s="361" t="s">
        <v>789</v>
      </c>
      <c r="D201" s="100">
        <f t="shared" si="18"/>
        <v>647</v>
      </c>
      <c r="E201" s="504" t="s">
        <v>174</v>
      </c>
      <c r="F201" s="767" t="s">
        <v>240</v>
      </c>
      <c r="G201" s="925"/>
      <c r="H201" s="955" t="s">
        <v>2750</v>
      </c>
      <c r="I201" s="922" t="s">
        <v>263</v>
      </c>
      <c r="J201" s="198" t="str">
        <f>IF(F201="","Belum Terisi",IF(AND(F200="Tidak Ada",F201&lt;&gt;"-"),"CEK",IF(AND(F200="Ada",F201="-"),"CEK","")))</f>
        <v/>
      </c>
      <c r="K201" s="31" t="str">
        <f>IF(J201="CEK",F200&amp;" Wisata Laut/ Danau","")</f>
        <v/>
      </c>
      <c r="L201" s="43"/>
      <c r="M201" s="21"/>
      <c r="N201" s="21"/>
      <c r="O201" s="21"/>
      <c r="P201" s="21"/>
      <c r="Q201" s="21"/>
      <c r="R201" s="21"/>
      <c r="S201" s="21"/>
      <c r="T201" s="21"/>
      <c r="U201" s="21"/>
      <c r="V201" s="21"/>
    </row>
    <row r="202" spans="1:22" s="2" customFormat="1" ht="40.15" customHeight="1" x14ac:dyDescent="0.25">
      <c r="A202" s="542"/>
      <c r="B202" s="242" t="s">
        <v>139</v>
      </c>
      <c r="C202" s="342" t="s">
        <v>1136</v>
      </c>
      <c r="D202" s="100">
        <f t="shared" si="18"/>
        <v>648</v>
      </c>
      <c r="E202" s="427" t="s">
        <v>174</v>
      </c>
      <c r="F202" s="767" t="s">
        <v>240</v>
      </c>
      <c r="G202" s="925"/>
      <c r="H202" s="955" t="s">
        <v>2742</v>
      </c>
      <c r="I202" s="922" t="s">
        <v>263</v>
      </c>
      <c r="J202" s="198" t="str">
        <f>IF(F202="","Belum Terisi",IF(AND(F200="Tidak Ada",F202&lt;&gt;"-"),"CEK",IF(AND(F200="Ada",F202="-"),"CEK","")))</f>
        <v/>
      </c>
      <c r="K202" s="31" t="str">
        <f>IF(J202="CEK",F200&amp;" Wisata Laut/ Danau","")</f>
        <v/>
      </c>
      <c r="L202" s="43"/>
      <c r="M202" s="21"/>
      <c r="N202" s="21"/>
      <c r="O202" s="21"/>
      <c r="P202" s="21"/>
      <c r="Q202" s="21"/>
      <c r="R202" s="21"/>
      <c r="S202" s="21"/>
      <c r="T202" s="21"/>
      <c r="U202" s="21"/>
      <c r="V202" s="21"/>
    </row>
    <row r="203" spans="1:22" s="2" customFormat="1" ht="40.15" customHeight="1" x14ac:dyDescent="0.25">
      <c r="A203" s="542"/>
      <c r="B203" s="242" t="s">
        <v>251</v>
      </c>
      <c r="C203" s="362" t="s">
        <v>790</v>
      </c>
      <c r="D203" s="100">
        <f t="shared" si="18"/>
        <v>649</v>
      </c>
      <c r="E203" s="463" t="s">
        <v>174</v>
      </c>
      <c r="F203" s="767" t="s">
        <v>240</v>
      </c>
      <c r="G203" s="925"/>
      <c r="H203" s="955" t="s">
        <v>2748</v>
      </c>
      <c r="I203" s="923" t="s">
        <v>263</v>
      </c>
      <c r="J203" s="198" t="str">
        <f>IF(F203="","Belum Terisi",IF(AND(F200="Tidak Ada",F203&lt;&gt;"-"),"CEK",IF(AND(F200="Ada",F203="-"),"CEK","")))</f>
        <v/>
      </c>
      <c r="K203" s="31" t="str">
        <f>IF(J203="CEK",F200&amp;" Wisata Laut/ Danau","")</f>
        <v/>
      </c>
      <c r="L203" s="43"/>
      <c r="M203" s="21"/>
      <c r="N203" s="21"/>
      <c r="O203" s="21"/>
      <c r="P203" s="21"/>
      <c r="Q203" s="21"/>
      <c r="R203" s="21"/>
      <c r="S203" s="21"/>
      <c r="T203" s="21"/>
      <c r="U203" s="21"/>
      <c r="V203" s="21"/>
    </row>
    <row r="204" spans="1:22" s="2" customFormat="1" ht="30" customHeight="1" x14ac:dyDescent="0.25">
      <c r="A204" s="542"/>
      <c r="B204" s="242" t="s">
        <v>255</v>
      </c>
      <c r="C204" s="342" t="s">
        <v>1152</v>
      </c>
      <c r="D204" s="100">
        <f t="shared" si="18"/>
        <v>650</v>
      </c>
      <c r="E204" s="427" t="s">
        <v>171</v>
      </c>
      <c r="F204" s="694" t="s">
        <v>263</v>
      </c>
      <c r="G204" s="925"/>
      <c r="H204" s="955" t="s">
        <v>2763</v>
      </c>
      <c r="I204" s="922" t="s">
        <v>263</v>
      </c>
      <c r="J204" s="198" t="str">
        <f>IF(F204="","Belum Terisi",IF(AND(F200="Tidak Ada",F204&lt;&gt;"Tidak Ada"),"CEK",IF(AND(F200="Ada",F204="Tidak Ada"),"CEK","")))</f>
        <v/>
      </c>
      <c r="K204" s="31" t="str">
        <f>IF(J204="CEK",F200&amp;" Wisata Laut/ Danau","")</f>
        <v/>
      </c>
      <c r="L204" s="43"/>
      <c r="M204" s="21"/>
      <c r="N204" s="21"/>
      <c r="O204" s="21"/>
      <c r="P204" s="21"/>
      <c r="Q204" s="21"/>
      <c r="R204" s="21"/>
      <c r="S204" s="21"/>
      <c r="T204" s="21"/>
      <c r="U204" s="21"/>
      <c r="V204" s="21"/>
    </row>
    <row r="205" spans="1:22" s="2" customFormat="1" ht="30" customHeight="1" x14ac:dyDescent="0.25">
      <c r="A205" s="542"/>
      <c r="B205" s="242" t="s">
        <v>252</v>
      </c>
      <c r="C205" s="342" t="s">
        <v>663</v>
      </c>
      <c r="D205" s="100">
        <f t="shared" si="18"/>
        <v>651</v>
      </c>
      <c r="E205" s="427" t="s">
        <v>171</v>
      </c>
      <c r="F205" s="694" t="s">
        <v>263</v>
      </c>
      <c r="G205" s="925"/>
      <c r="H205" s="955" t="s">
        <v>2740</v>
      </c>
      <c r="I205" s="922" t="s">
        <v>263</v>
      </c>
      <c r="J205" s="198" t="str">
        <f>IF(F205="","Belum Terisi",IF(AND(F200="Tidak Ada",F205&lt;&gt;"Tidak Ada"),"CEK",IF(AND(F200="Ada",F205="Tidak Ada"),"CEK","")))</f>
        <v/>
      </c>
      <c r="K205" s="31" t="str">
        <f>IF(J205="CEK",F200&amp;" Wisata Laut/ Danau","")</f>
        <v/>
      </c>
      <c r="L205" s="43"/>
      <c r="M205" s="21"/>
      <c r="N205" s="21"/>
      <c r="O205" s="21"/>
      <c r="P205" s="21"/>
      <c r="Q205" s="21"/>
      <c r="R205" s="21"/>
      <c r="S205" s="21"/>
      <c r="T205" s="21"/>
      <c r="U205" s="21"/>
      <c r="V205" s="21"/>
    </row>
    <row r="206" spans="1:22" s="2" customFormat="1" ht="30" customHeight="1" x14ac:dyDescent="0.25">
      <c r="A206" s="542"/>
      <c r="B206" s="242" t="s">
        <v>253</v>
      </c>
      <c r="C206" s="342" t="s">
        <v>807</v>
      </c>
      <c r="D206" s="100">
        <f t="shared" si="18"/>
        <v>652</v>
      </c>
      <c r="E206" s="427" t="s">
        <v>171</v>
      </c>
      <c r="F206" s="694" t="s">
        <v>263</v>
      </c>
      <c r="G206" s="925"/>
      <c r="H206" s="955" t="s">
        <v>2746</v>
      </c>
      <c r="I206" s="923" t="s">
        <v>263</v>
      </c>
      <c r="J206" s="198" t="str">
        <f>IF(F206="","Belum Terisi",IF(AND(F200="Tidak Ada",F206&lt;&gt;"Tidak Ada"),"CEK",IF(AND(F200="Ada",F206="Tidak Ada"),"CEK","")))</f>
        <v/>
      </c>
      <c r="K206" s="31" t="str">
        <f>IF(J206="CEK",F200&amp;" Wisata Laut/ Danau","")</f>
        <v/>
      </c>
      <c r="L206" s="43"/>
      <c r="M206" s="21"/>
      <c r="N206" s="21"/>
      <c r="O206" s="21"/>
      <c r="P206" s="21"/>
      <c r="Q206" s="21"/>
      <c r="R206" s="21"/>
      <c r="S206" s="21"/>
      <c r="T206" s="21"/>
      <c r="U206" s="21"/>
      <c r="V206" s="21"/>
    </row>
    <row r="207" spans="1:22" s="2" customFormat="1" ht="30" customHeight="1" x14ac:dyDescent="0.25">
      <c r="A207" s="542"/>
      <c r="B207" s="242" t="s">
        <v>254</v>
      </c>
      <c r="C207" s="342" t="s">
        <v>662</v>
      </c>
      <c r="D207" s="100">
        <f t="shared" si="18"/>
        <v>653</v>
      </c>
      <c r="E207" s="427" t="s">
        <v>171</v>
      </c>
      <c r="F207" s="694" t="s">
        <v>263</v>
      </c>
      <c r="G207" s="925"/>
      <c r="H207" s="955" t="s">
        <v>2747</v>
      </c>
      <c r="I207" s="923" t="s">
        <v>263</v>
      </c>
      <c r="J207" s="198" t="str">
        <f>IF(F207="","Belum Terisi",IF(AND(F200="Tidak Ada",F207&lt;&gt;"Tidak Ada"),"CEK",IF(AND(F200="Ada",F207="Tidak Ada"),"CEK",IF(AND(F200="Ada",F205="&lt;500 meter",OR(F207="500-1.000 meter",F207="1.000-1.500 meter",F207="&gt;1.500 meter")),"CEK",""))))</f>
        <v/>
      </c>
      <c r="K207" s="31" t="str">
        <f>IF(AND(J207="CEK",F200="Tidak Ada"),F200&amp;" Wisata Laut/ Danau",IF(AND(J207="CEK",F205="&lt;500 meter",OR(F207="500-1.000 meter",F207="1.000-1.500 meter",F207="&gt;1.500 meter")),"Panjang Jalan Rusak Melebihi Jarak Menuju Objek Wisata Laut/ Danau",""))</f>
        <v/>
      </c>
      <c r="L207" s="43"/>
      <c r="M207" s="21"/>
      <c r="N207" s="21"/>
      <c r="O207" s="21"/>
      <c r="P207" s="21"/>
      <c r="Q207" s="21"/>
      <c r="R207" s="21"/>
      <c r="S207" s="21"/>
      <c r="T207" s="21"/>
      <c r="U207" s="21"/>
      <c r="V207" s="21"/>
    </row>
    <row r="208" spans="1:22" s="2" customFormat="1" ht="30" customHeight="1" x14ac:dyDescent="0.25">
      <c r="A208" s="541"/>
      <c r="B208" s="242" t="s">
        <v>256</v>
      </c>
      <c r="C208" s="342" t="s">
        <v>661</v>
      </c>
      <c r="D208" s="100">
        <f t="shared" si="18"/>
        <v>654</v>
      </c>
      <c r="E208" s="427" t="s">
        <v>171</v>
      </c>
      <c r="F208" s="697" t="s">
        <v>263</v>
      </c>
      <c r="G208" s="925"/>
      <c r="H208" s="955" t="s">
        <v>2749</v>
      </c>
      <c r="I208" s="922" t="s">
        <v>263</v>
      </c>
      <c r="J208" s="198" t="str">
        <f>IF(F208="","Belum Terisi",IF(AND(F200="tidak Ada",F208&lt;&gt;"Tidak Ada"),"CEK",""))</f>
        <v/>
      </c>
      <c r="K208" s="31"/>
      <c r="L208" s="43"/>
      <c r="M208" s="21"/>
      <c r="N208" s="21"/>
      <c r="O208" s="21"/>
      <c r="P208" s="21"/>
      <c r="Q208" s="21"/>
      <c r="R208" s="21"/>
      <c r="S208" s="21"/>
      <c r="T208" s="21"/>
      <c r="U208" s="21"/>
      <c r="V208" s="21"/>
    </row>
    <row r="209" spans="1:22" s="2" customFormat="1" ht="30" customHeight="1" x14ac:dyDescent="0.25">
      <c r="A209" s="648">
        <f>A200+1</f>
        <v>50</v>
      </c>
      <c r="B209" s="359"/>
      <c r="C209" s="360" t="s">
        <v>1120</v>
      </c>
      <c r="D209" s="100">
        <f t="shared" si="18"/>
        <v>655</v>
      </c>
      <c r="E209" s="427" t="s">
        <v>171</v>
      </c>
      <c r="F209" s="693" t="s">
        <v>263</v>
      </c>
      <c r="G209" s="925"/>
      <c r="H209" s="955">
        <v>61</v>
      </c>
      <c r="I209" s="923" t="s">
        <v>911</v>
      </c>
      <c r="J209" s="198" t="str">
        <f>IF(LEN(F209)&gt;0,"","Belum Terisi")</f>
        <v/>
      </c>
      <c r="K209" s="31"/>
      <c r="L209" s="43"/>
      <c r="M209" s="21"/>
      <c r="N209" s="21"/>
      <c r="O209" s="21"/>
      <c r="P209" s="21"/>
      <c r="Q209" s="21"/>
      <c r="R209" s="21"/>
      <c r="S209" s="21"/>
      <c r="T209" s="21"/>
      <c r="U209" s="21"/>
      <c r="V209" s="21"/>
    </row>
    <row r="210" spans="1:22" s="2" customFormat="1" ht="40.15" customHeight="1" x14ac:dyDescent="0.25">
      <c r="A210" s="542"/>
      <c r="B210" s="242" t="s">
        <v>41</v>
      </c>
      <c r="C210" s="361" t="s">
        <v>789</v>
      </c>
      <c r="D210" s="100">
        <f t="shared" si="18"/>
        <v>656</v>
      </c>
      <c r="E210" s="504" t="s">
        <v>174</v>
      </c>
      <c r="F210" s="767" t="s">
        <v>240</v>
      </c>
      <c r="G210" s="925"/>
      <c r="H210" s="955" t="s">
        <v>2754</v>
      </c>
      <c r="I210" s="922" t="s">
        <v>263</v>
      </c>
      <c r="J210" s="198" t="str">
        <f>IF(F210="","Belum Terisi",IF(AND(F209="Tidak Ada",F210&lt;&gt;"-"),"CEK",IF(AND(F209="Ada",F210="-"),"CEK","")))</f>
        <v/>
      </c>
      <c r="K210" s="31" t="str">
        <f>IF(J210="CEK",F209&amp;" Wisata Hutan","")</f>
        <v/>
      </c>
      <c r="L210" s="43"/>
      <c r="M210" s="21"/>
      <c r="N210" s="21"/>
      <c r="O210" s="21"/>
      <c r="P210" s="21"/>
      <c r="Q210" s="21"/>
      <c r="R210" s="21"/>
      <c r="S210" s="21"/>
      <c r="T210" s="21"/>
      <c r="U210" s="21"/>
      <c r="V210" s="21"/>
    </row>
    <row r="211" spans="1:22" s="2" customFormat="1" ht="40.15" customHeight="1" x14ac:dyDescent="0.25">
      <c r="A211" s="542"/>
      <c r="B211" s="242" t="s">
        <v>139</v>
      </c>
      <c r="C211" s="342" t="s">
        <v>1137</v>
      </c>
      <c r="D211" s="100">
        <f t="shared" si="18"/>
        <v>657</v>
      </c>
      <c r="E211" s="427" t="s">
        <v>174</v>
      </c>
      <c r="F211" s="767" t="s">
        <v>240</v>
      </c>
      <c r="G211" s="925"/>
      <c r="H211" s="955" t="s">
        <v>2756</v>
      </c>
      <c r="I211" s="922" t="s">
        <v>263</v>
      </c>
      <c r="J211" s="198" t="str">
        <f>IF(F211="","Belum Terisi",IF(AND(F209="Tidak Ada",F211&lt;&gt;"-"),"CEK",IF(AND(F209="Ada",F211="-"),"CEK","")))</f>
        <v/>
      </c>
      <c r="K211" s="31" t="str">
        <f>IF(J211="CEK",F209&amp;" Wisata Hutan","")</f>
        <v/>
      </c>
      <c r="L211" s="43"/>
      <c r="M211" s="21"/>
      <c r="N211" s="21"/>
      <c r="O211" s="21"/>
      <c r="P211" s="21"/>
      <c r="Q211" s="21"/>
      <c r="R211" s="21"/>
      <c r="S211" s="21"/>
      <c r="T211" s="21"/>
      <c r="U211" s="21"/>
      <c r="V211" s="21"/>
    </row>
    <row r="212" spans="1:22" s="2" customFormat="1" ht="40.15" customHeight="1" x14ac:dyDescent="0.25">
      <c r="A212" s="542"/>
      <c r="B212" s="242" t="s">
        <v>251</v>
      </c>
      <c r="C212" s="362" t="s">
        <v>790</v>
      </c>
      <c r="D212" s="100">
        <f t="shared" si="18"/>
        <v>658</v>
      </c>
      <c r="E212" s="463" t="s">
        <v>174</v>
      </c>
      <c r="F212" s="767" t="s">
        <v>240</v>
      </c>
      <c r="G212" s="925"/>
      <c r="H212" s="955" t="s">
        <v>2755</v>
      </c>
      <c r="I212" s="922" t="s">
        <v>263</v>
      </c>
      <c r="J212" s="198" t="str">
        <f>IF(F212="","Belum Terisi",IF(AND(F209="Tidak Ada",F212&lt;&gt;"-"),"CEK",IF(AND(F209="Ada",F212="-"),"CEK","")))</f>
        <v/>
      </c>
      <c r="K212" s="31" t="str">
        <f>IF(J212="CEK",F209&amp;" Wisata Hutan","")</f>
        <v/>
      </c>
      <c r="L212" s="43"/>
      <c r="M212" s="21"/>
      <c r="N212" s="21"/>
      <c r="O212" s="21"/>
      <c r="P212" s="21"/>
      <c r="Q212" s="21"/>
      <c r="R212" s="21"/>
      <c r="S212" s="21"/>
      <c r="T212" s="21"/>
      <c r="U212" s="21"/>
      <c r="V212" s="21"/>
    </row>
    <row r="213" spans="1:22" s="2" customFormat="1" ht="30" customHeight="1" x14ac:dyDescent="0.25">
      <c r="A213" s="542"/>
      <c r="B213" s="242" t="s">
        <v>255</v>
      </c>
      <c r="C213" s="342" t="s">
        <v>1153</v>
      </c>
      <c r="D213" s="100">
        <f t="shared" si="18"/>
        <v>659</v>
      </c>
      <c r="E213" s="427" t="s">
        <v>171</v>
      </c>
      <c r="F213" s="694" t="s">
        <v>263</v>
      </c>
      <c r="G213" s="925"/>
      <c r="H213" s="955" t="s">
        <v>2757</v>
      </c>
      <c r="I213" s="922" t="s">
        <v>263</v>
      </c>
      <c r="J213" s="198" t="str">
        <f>IF(F213="","Belum Terisi",IF(AND(F209="Tidak Ada",F213&lt;&gt;"Tidak Ada"),"CEK",IF(AND(F209="Ada",F213="Tidak Ada"),"CEK","")))</f>
        <v/>
      </c>
      <c r="K213" s="31" t="str">
        <f>IF(J213="CEK",F209&amp;" Wisata Hutan","")</f>
        <v/>
      </c>
      <c r="L213" s="43"/>
      <c r="M213" s="21"/>
      <c r="N213" s="21"/>
      <c r="O213" s="21"/>
      <c r="P213" s="21"/>
      <c r="Q213" s="21"/>
      <c r="R213" s="21"/>
      <c r="S213" s="21"/>
      <c r="T213" s="21"/>
      <c r="U213" s="21"/>
      <c r="V213" s="21"/>
    </row>
    <row r="214" spans="1:22" s="2" customFormat="1" ht="30" customHeight="1" x14ac:dyDescent="0.25">
      <c r="A214" s="542"/>
      <c r="B214" s="242" t="s">
        <v>252</v>
      </c>
      <c r="C214" s="342" t="s">
        <v>663</v>
      </c>
      <c r="D214" s="100">
        <f t="shared" si="18"/>
        <v>660</v>
      </c>
      <c r="E214" s="427" t="s">
        <v>171</v>
      </c>
      <c r="F214" s="694" t="s">
        <v>263</v>
      </c>
      <c r="G214" s="925"/>
      <c r="H214" s="955">
        <v>65</v>
      </c>
      <c r="I214" s="922" t="s">
        <v>915</v>
      </c>
      <c r="J214" s="198" t="str">
        <f>IF(F214="","Belum Terisi",IF(AND(F209="Tidak Ada",F214&lt;&gt;"Tidak Ada"),"CEK",IF(AND(F209="Ada",F214="Tidak Ada"),"CEK","")))</f>
        <v/>
      </c>
      <c r="K214" s="31" t="str">
        <f>IF(J214="CEK",F209&amp;" Wisata Hutan","")</f>
        <v/>
      </c>
      <c r="L214" s="43"/>
      <c r="M214" s="21"/>
      <c r="N214" s="21"/>
      <c r="O214" s="21"/>
      <c r="P214" s="21"/>
      <c r="Q214" s="21"/>
      <c r="R214" s="21"/>
      <c r="S214" s="21"/>
      <c r="T214" s="21"/>
      <c r="U214" s="21"/>
      <c r="V214" s="21"/>
    </row>
    <row r="215" spans="1:22" s="2" customFormat="1" ht="40.15" customHeight="1" x14ac:dyDescent="0.25">
      <c r="A215" s="542"/>
      <c r="B215" s="242" t="s">
        <v>253</v>
      </c>
      <c r="C215" s="342" t="s">
        <v>807</v>
      </c>
      <c r="D215" s="100">
        <f t="shared" si="18"/>
        <v>661</v>
      </c>
      <c r="E215" s="427" t="s">
        <v>171</v>
      </c>
      <c r="F215" s="694" t="s">
        <v>263</v>
      </c>
      <c r="G215" s="925"/>
      <c r="H215" s="955">
        <v>65</v>
      </c>
      <c r="I215" s="929" t="s">
        <v>911</v>
      </c>
      <c r="J215" s="198" t="str">
        <f>IF(F215="","Belum Terisi",IF(AND(F209="Tidak Ada",F215&lt;&gt;"Tidak Ada"),"CEK",IF(AND(F209="Ada",F215="Tidak Ada"),"CEK","")))</f>
        <v/>
      </c>
      <c r="K215" s="31" t="str">
        <f>IF(J215="CEK",F209&amp;" Wisata Hutan","")</f>
        <v/>
      </c>
      <c r="L215" s="43"/>
      <c r="M215" s="21"/>
      <c r="N215" s="21"/>
      <c r="O215" s="21"/>
      <c r="P215" s="21"/>
      <c r="Q215" s="21"/>
      <c r="R215" s="21"/>
      <c r="S215" s="21"/>
      <c r="T215" s="21"/>
      <c r="U215" s="21"/>
      <c r="V215" s="21"/>
    </row>
    <row r="216" spans="1:22" s="2" customFormat="1" ht="30" customHeight="1" x14ac:dyDescent="0.25">
      <c r="A216" s="542"/>
      <c r="B216" s="242" t="s">
        <v>254</v>
      </c>
      <c r="C216" s="342" t="s">
        <v>662</v>
      </c>
      <c r="D216" s="100">
        <f t="shared" si="18"/>
        <v>662</v>
      </c>
      <c r="E216" s="427" t="s">
        <v>171</v>
      </c>
      <c r="F216" s="694" t="s">
        <v>263</v>
      </c>
      <c r="G216" s="925"/>
      <c r="H216" s="955" t="s">
        <v>2758</v>
      </c>
      <c r="I216" s="929" t="s">
        <v>263</v>
      </c>
      <c r="J216" s="198" t="str">
        <f>IF(F216="","Belum Terisi",IF(AND(F209="Tidak Ada",F216&lt;&gt;"Tidak Ada"),"CEK",IF(AND(F209="Ada",F216="Tidak Ada"),"CEK",IF(AND(F209="Ada",F214="&lt;500 meter",OR(F216="500-1.000 meter",F216="1.000-1.500 meter",F216="&gt;1.500 meter")),"CEK",""))))</f>
        <v/>
      </c>
      <c r="K216" s="31" t="str">
        <f>IF(AND(J216="CEK",F209="Tidak Ada"),F209&amp;" Wisata Hutan",IF(AND(J216="CEK",F214="&lt;500 meter",OR(F216="500-1.000 meter",F216="1.000-1.500 meter",F216="&gt;1.500 meter")),"Panjang Jalan Rusak Melebihi Jarak Menuju Objek Wisata Hutan",""))</f>
        <v/>
      </c>
      <c r="L216" s="43"/>
      <c r="M216" s="21"/>
      <c r="N216" s="21"/>
      <c r="O216" s="21"/>
      <c r="P216" s="21"/>
      <c r="Q216" s="21"/>
      <c r="R216" s="21"/>
      <c r="S216" s="21"/>
      <c r="T216" s="21"/>
      <c r="U216" s="21"/>
      <c r="V216" s="21"/>
    </row>
    <row r="217" spans="1:22" s="2" customFormat="1" ht="30" customHeight="1" x14ac:dyDescent="0.25">
      <c r="A217" s="541"/>
      <c r="B217" s="242" t="s">
        <v>256</v>
      </c>
      <c r="C217" s="342" t="s">
        <v>661</v>
      </c>
      <c r="D217" s="100">
        <f t="shared" si="18"/>
        <v>663</v>
      </c>
      <c r="E217" s="427" t="s">
        <v>171</v>
      </c>
      <c r="F217" s="697" t="s">
        <v>263</v>
      </c>
      <c r="G217" s="925"/>
      <c r="H217" s="956" t="s">
        <v>2744</v>
      </c>
      <c r="I217" s="929" t="s">
        <v>263</v>
      </c>
      <c r="J217" s="198" t="str">
        <f>IF(F217="","Belum Terisi",IF(AND(F209="tidak Ada",F217&lt;&gt;"Tidak Ada"),"CEK",""))</f>
        <v/>
      </c>
      <c r="K217" s="31"/>
      <c r="L217" s="43"/>
      <c r="M217" s="21"/>
      <c r="N217" s="21"/>
      <c r="O217" s="21"/>
      <c r="P217" s="21"/>
      <c r="Q217" s="21"/>
      <c r="R217" s="21"/>
      <c r="S217" s="21"/>
      <c r="T217" s="21"/>
      <c r="U217" s="21"/>
      <c r="V217" s="21"/>
    </row>
    <row r="218" spans="1:22" s="2" customFormat="1" ht="30" customHeight="1" x14ac:dyDescent="0.25">
      <c r="A218" s="648">
        <f>A209+1</f>
        <v>51</v>
      </c>
      <c r="B218" s="359"/>
      <c r="C218" s="360" t="s">
        <v>1121</v>
      </c>
      <c r="D218" s="100">
        <f t="shared" si="18"/>
        <v>664</v>
      </c>
      <c r="E218" s="427" t="s">
        <v>171</v>
      </c>
      <c r="F218" s="693" t="s">
        <v>263</v>
      </c>
      <c r="G218" s="925"/>
      <c r="H218" s="956">
        <v>21</v>
      </c>
      <c r="I218" s="929" t="s">
        <v>911</v>
      </c>
      <c r="J218" s="198" t="str">
        <f>IF(LEN(F218)&gt;0,"","Belum Terisi")</f>
        <v/>
      </c>
      <c r="K218" s="31"/>
      <c r="L218" s="43"/>
      <c r="M218" s="21"/>
      <c r="N218" s="21"/>
      <c r="O218" s="21"/>
      <c r="P218" s="21"/>
      <c r="Q218" s="21"/>
      <c r="R218" s="21"/>
      <c r="S218" s="21"/>
      <c r="T218" s="21"/>
      <c r="U218" s="21"/>
      <c r="V218" s="21"/>
    </row>
    <row r="219" spans="1:22" s="2" customFormat="1" ht="40.15" customHeight="1" x14ac:dyDescent="0.25">
      <c r="A219" s="542"/>
      <c r="B219" s="242" t="s">
        <v>41</v>
      </c>
      <c r="C219" s="361" t="s">
        <v>789</v>
      </c>
      <c r="D219" s="100">
        <f t="shared" si="18"/>
        <v>665</v>
      </c>
      <c r="E219" s="504" t="s">
        <v>174</v>
      </c>
      <c r="F219" s="767" t="s">
        <v>240</v>
      </c>
      <c r="G219" s="925"/>
      <c r="H219" s="956">
        <v>21</v>
      </c>
      <c r="I219" s="929" t="s">
        <v>914</v>
      </c>
      <c r="J219" s="198" t="str">
        <f>IF(F219="","Belum Terisi",IF(AND(F218="Tidak Ada",F219&lt;&gt;"-"),"CEK",IF(AND(F218="Ada",F219="-"),"CEK","")))</f>
        <v/>
      </c>
      <c r="K219" s="31" t="str">
        <f>IF(J219="CEK",F218&amp;" Wisata Sungai","")</f>
        <v/>
      </c>
      <c r="L219" s="43"/>
      <c r="M219" s="21"/>
      <c r="N219" s="21"/>
      <c r="O219" s="21"/>
      <c r="P219" s="21"/>
      <c r="Q219" s="21"/>
      <c r="R219" s="21"/>
      <c r="S219" s="21"/>
      <c r="T219" s="21"/>
      <c r="U219" s="21"/>
      <c r="V219" s="21"/>
    </row>
    <row r="220" spans="1:22" s="2" customFormat="1" ht="40.15" customHeight="1" x14ac:dyDescent="0.25">
      <c r="A220" s="542"/>
      <c r="B220" s="242" t="s">
        <v>139</v>
      </c>
      <c r="C220" s="342" t="s">
        <v>1138</v>
      </c>
      <c r="D220" s="100">
        <f t="shared" si="18"/>
        <v>666</v>
      </c>
      <c r="E220" s="427" t="s">
        <v>174</v>
      </c>
      <c r="F220" s="767" t="s">
        <v>240</v>
      </c>
      <c r="G220" s="925"/>
      <c r="H220" s="956">
        <v>21</v>
      </c>
      <c r="I220" s="929" t="s">
        <v>916</v>
      </c>
      <c r="J220" s="198" t="str">
        <f>IF(F220="","Belum Terisi",IF(AND(F218="Tidak Ada",F220&lt;&gt;"-"),"CEK",IF(AND(F218="Ada",F220="-"),"CEK","")))</f>
        <v/>
      </c>
      <c r="K220" s="31" t="str">
        <f>IF(J220="CEK",F218&amp;" Wisata Sungai","")</f>
        <v/>
      </c>
      <c r="L220" s="43"/>
      <c r="M220" s="21"/>
      <c r="N220" s="21"/>
      <c r="O220" s="21"/>
      <c r="P220" s="21"/>
      <c r="Q220" s="21"/>
      <c r="R220" s="21"/>
      <c r="S220" s="21"/>
      <c r="T220" s="21"/>
      <c r="U220" s="21"/>
      <c r="V220" s="21"/>
    </row>
    <row r="221" spans="1:22" s="2" customFormat="1" ht="40.15" customHeight="1" x14ac:dyDescent="0.25">
      <c r="A221" s="542"/>
      <c r="B221" s="242" t="s">
        <v>251</v>
      </c>
      <c r="C221" s="362" t="s">
        <v>790</v>
      </c>
      <c r="D221" s="100">
        <f t="shared" si="18"/>
        <v>667</v>
      </c>
      <c r="E221" s="463" t="s">
        <v>174</v>
      </c>
      <c r="F221" s="767" t="s">
        <v>240</v>
      </c>
      <c r="G221" s="925"/>
      <c r="H221" s="956" t="s">
        <v>2745</v>
      </c>
      <c r="I221" s="929" t="s">
        <v>263</v>
      </c>
      <c r="J221" s="198" t="str">
        <f>IF(F221="","Belum Terisi",IF(AND(F218="Tidak Ada",F221&lt;&gt;"-"),"CEK",IF(AND(F218="Ada",F221="-"),"CEK","")))</f>
        <v/>
      </c>
      <c r="K221" s="31" t="str">
        <f>IF(J221="CEK",F218&amp;" Wisata Sungai","")</f>
        <v/>
      </c>
      <c r="L221" s="43"/>
      <c r="M221" s="21"/>
      <c r="N221" s="21"/>
      <c r="O221" s="21"/>
      <c r="P221" s="21"/>
      <c r="Q221" s="21"/>
      <c r="R221" s="21"/>
      <c r="S221" s="21"/>
      <c r="T221" s="21"/>
      <c r="U221" s="21"/>
      <c r="V221" s="21"/>
    </row>
    <row r="222" spans="1:22" s="2" customFormat="1" ht="30" customHeight="1" x14ac:dyDescent="0.25">
      <c r="A222" s="542"/>
      <c r="B222" s="242" t="s">
        <v>255</v>
      </c>
      <c r="C222" s="342" t="s">
        <v>1154</v>
      </c>
      <c r="D222" s="100">
        <f t="shared" si="18"/>
        <v>668</v>
      </c>
      <c r="E222" s="427" t="s">
        <v>171</v>
      </c>
      <c r="F222" s="694" t="s">
        <v>263</v>
      </c>
      <c r="G222" s="925"/>
      <c r="H222" s="956" t="s">
        <v>2743</v>
      </c>
      <c r="I222" s="929" t="s">
        <v>263</v>
      </c>
      <c r="J222" s="198" t="str">
        <f>IF(F222="","Belum Terisi",IF(AND(F218="Tidak Ada",F222&lt;&gt;"Tidak Ada"),"CEK",IF(AND(F218="Ada",F222="Tidak Ada"),"CEK","")))</f>
        <v/>
      </c>
      <c r="K222" s="31" t="str">
        <f>IF(J222="CEK",F218&amp;" Wisata Sungai","")</f>
        <v/>
      </c>
      <c r="L222" s="43"/>
      <c r="M222" s="21"/>
      <c r="N222" s="21"/>
      <c r="O222" s="21"/>
      <c r="P222" s="21"/>
      <c r="Q222" s="21"/>
      <c r="R222" s="21"/>
      <c r="S222" s="21"/>
      <c r="T222" s="21"/>
      <c r="U222" s="21"/>
      <c r="V222" s="21"/>
    </row>
    <row r="223" spans="1:22" s="2" customFormat="1" ht="30" customHeight="1" x14ac:dyDescent="0.25">
      <c r="A223" s="542"/>
      <c r="B223" s="242" t="s">
        <v>252</v>
      </c>
      <c r="C223" s="342" t="s">
        <v>663</v>
      </c>
      <c r="D223" s="100">
        <f t="shared" si="18"/>
        <v>669</v>
      </c>
      <c r="E223" s="427" t="s">
        <v>171</v>
      </c>
      <c r="F223" s="694" t="s">
        <v>263</v>
      </c>
      <c r="G223" s="925"/>
      <c r="H223" s="956">
        <v>81</v>
      </c>
      <c r="I223" s="929" t="s">
        <v>915</v>
      </c>
      <c r="J223" s="198" t="str">
        <f>IF(F223="","Belum Terisi",IF(AND(F218="Tidak Ada",F223&lt;&gt;"Tidak Ada"),"CEK",IF(AND(F218="Ada",F223="Tidak Ada"),"CEK","")))</f>
        <v/>
      </c>
      <c r="K223" s="31" t="str">
        <f>IF(J223="CEK",F218&amp;" Wisata Sungai","")</f>
        <v/>
      </c>
      <c r="L223" s="43"/>
      <c r="M223" s="21"/>
      <c r="N223" s="21"/>
      <c r="O223" s="21"/>
      <c r="P223" s="21"/>
      <c r="Q223" s="21"/>
      <c r="R223" s="21"/>
      <c r="S223" s="21"/>
      <c r="T223" s="21"/>
      <c r="U223" s="21"/>
      <c r="V223" s="21"/>
    </row>
    <row r="224" spans="1:22" s="2" customFormat="1" ht="40.15" customHeight="1" x14ac:dyDescent="0.25">
      <c r="A224" s="542"/>
      <c r="B224" s="242" t="s">
        <v>253</v>
      </c>
      <c r="C224" s="342" t="s">
        <v>807</v>
      </c>
      <c r="D224" s="100">
        <f t="shared" si="18"/>
        <v>670</v>
      </c>
      <c r="E224" s="427" t="s">
        <v>171</v>
      </c>
      <c r="F224" s="694" t="s">
        <v>263</v>
      </c>
      <c r="G224" s="925"/>
      <c r="H224" s="956" t="s">
        <v>2765</v>
      </c>
      <c r="I224" s="929" t="s">
        <v>263</v>
      </c>
      <c r="J224" s="198" t="str">
        <f>IF(F224="","Belum Terisi",IF(AND(F218="Tidak Ada",F224&lt;&gt;"Tidak Ada"),"CEK",IF(AND(F218="Ada",F224="Tidak Ada"),"CEK","")))</f>
        <v/>
      </c>
      <c r="K224" s="31" t="str">
        <f>IF(J224="CEK",F218&amp;" Wisata Sungai","")</f>
        <v/>
      </c>
      <c r="L224" s="43"/>
      <c r="M224" s="21"/>
      <c r="N224" s="21"/>
      <c r="O224" s="21"/>
      <c r="P224" s="21"/>
      <c r="Q224" s="21"/>
      <c r="R224" s="21"/>
      <c r="S224" s="21"/>
      <c r="T224" s="21"/>
      <c r="U224" s="21"/>
      <c r="V224" s="21"/>
    </row>
    <row r="225" spans="1:22" s="2" customFormat="1" ht="30" customHeight="1" x14ac:dyDescent="0.25">
      <c r="A225" s="542"/>
      <c r="B225" s="242" t="s">
        <v>254</v>
      </c>
      <c r="C225" s="342" t="s">
        <v>662</v>
      </c>
      <c r="D225" s="100">
        <f t="shared" si="18"/>
        <v>671</v>
      </c>
      <c r="E225" s="427" t="s">
        <v>171</v>
      </c>
      <c r="F225" s="694" t="s">
        <v>263</v>
      </c>
      <c r="G225" s="925"/>
      <c r="H225" s="956">
        <v>82</v>
      </c>
      <c r="I225" s="929" t="s">
        <v>915</v>
      </c>
      <c r="J225" s="198" t="str">
        <f>IF(F225="","Belum Terisi",IF(AND(F218="Tidak Ada",F225&lt;&gt;"Tidak Ada"),"CEK",IF(AND(F218="Ada",F225="Tidak Ada"),"CEK",IF(AND(F218="Ada",F223="&lt;500 meter",OR(F225="500-1.000 meter",F225="1.000-1.500 meter",F225="&gt;1.500 meter")),"CEK",""))))</f>
        <v/>
      </c>
      <c r="K225" s="31" t="str">
        <f>IF(AND(J225="CEK",F218="Tidak Ada"),F218&amp;" Wisata Sungai",IF(AND(J225="CEK",F223="&lt;500 meter",OR(F225="500-1.000 meter",F225="1.000-1.500 meter",F225="&gt;1.500 meter")),"Panjang Jalan Rusak Melebihi Jarak Menuju Objek Wisata Sungai",""))</f>
        <v/>
      </c>
      <c r="L225" s="43"/>
      <c r="M225" s="21"/>
      <c r="N225" s="21"/>
      <c r="O225" s="21"/>
      <c r="P225" s="21"/>
      <c r="Q225" s="21"/>
      <c r="R225" s="21"/>
      <c r="S225" s="21"/>
      <c r="T225" s="21"/>
      <c r="U225" s="21"/>
      <c r="V225" s="21"/>
    </row>
    <row r="226" spans="1:22" s="2" customFormat="1" ht="30" customHeight="1" x14ac:dyDescent="0.25">
      <c r="A226" s="541"/>
      <c r="B226" s="242" t="s">
        <v>256</v>
      </c>
      <c r="C226" s="342" t="s">
        <v>661</v>
      </c>
      <c r="D226" s="100">
        <f t="shared" si="18"/>
        <v>672</v>
      </c>
      <c r="E226" s="427" t="s">
        <v>171</v>
      </c>
      <c r="F226" s="697" t="s">
        <v>263</v>
      </c>
      <c r="G226" s="925"/>
      <c r="H226" s="956" t="s">
        <v>2766</v>
      </c>
      <c r="I226" s="929" t="s">
        <v>263</v>
      </c>
      <c r="J226" s="198" t="str">
        <f>IF(F226="","Belum Terisi",IF(AND(F218="tidak Ada",F226&lt;&gt;"Tidak Ada"),"CEK",""))</f>
        <v/>
      </c>
      <c r="K226" s="31"/>
      <c r="L226" s="43"/>
      <c r="M226" s="21"/>
      <c r="N226" s="21"/>
      <c r="O226" s="21"/>
      <c r="P226" s="21"/>
      <c r="Q226" s="21"/>
      <c r="R226" s="21"/>
      <c r="S226" s="21"/>
      <c r="T226" s="21"/>
      <c r="U226" s="21"/>
      <c r="V226" s="21"/>
    </row>
    <row r="227" spans="1:22" s="2" customFormat="1" ht="30" customHeight="1" x14ac:dyDescent="0.25">
      <c r="A227" s="648">
        <f>A218+1</f>
        <v>52</v>
      </c>
      <c r="B227" s="359"/>
      <c r="C227" s="360" t="s">
        <v>1122</v>
      </c>
      <c r="D227" s="100">
        <f t="shared" si="18"/>
        <v>673</v>
      </c>
      <c r="E227" s="427" t="s">
        <v>171</v>
      </c>
      <c r="F227" s="693" t="s">
        <v>263</v>
      </c>
      <c r="G227" s="925"/>
      <c r="H227" s="956" t="s">
        <v>2752</v>
      </c>
      <c r="I227" s="929" t="s">
        <v>263</v>
      </c>
      <c r="J227" s="198" t="str">
        <f>IF(LEN(F227)&gt;0,"","Belum Terisi")</f>
        <v/>
      </c>
      <c r="K227" s="31"/>
      <c r="L227" s="43"/>
      <c r="M227" s="21"/>
      <c r="N227" s="21"/>
      <c r="O227" s="21"/>
      <c r="P227" s="21"/>
      <c r="Q227" s="21"/>
      <c r="R227" s="21"/>
      <c r="S227" s="21"/>
      <c r="T227" s="21"/>
      <c r="U227" s="21"/>
      <c r="V227" s="21"/>
    </row>
    <row r="228" spans="1:22" s="2" customFormat="1" ht="40.15" customHeight="1" x14ac:dyDescent="0.25">
      <c r="A228" s="542"/>
      <c r="B228" s="242" t="s">
        <v>41</v>
      </c>
      <c r="C228" s="361" t="s">
        <v>789</v>
      </c>
      <c r="D228" s="100">
        <f t="shared" si="18"/>
        <v>674</v>
      </c>
      <c r="E228" s="504" t="s">
        <v>174</v>
      </c>
      <c r="F228" s="767" t="s">
        <v>240</v>
      </c>
      <c r="G228" s="925"/>
      <c r="H228" s="956">
        <v>53</v>
      </c>
      <c r="I228" s="922" t="s">
        <v>913</v>
      </c>
      <c r="J228" s="198" t="str">
        <f>IF(F228="","Belum Terisi",IF(AND(F227="Tidak Ada",F228&lt;&gt;"-"),"CEK",IF(AND(F227="Ada",F228="-"),"CEK","")))</f>
        <v/>
      </c>
      <c r="K228" s="31" t="str">
        <f>IF(J228="CEK",F227&amp;" Wisata Air Terjun","")</f>
        <v/>
      </c>
      <c r="L228" s="43"/>
      <c r="M228" s="21"/>
      <c r="N228" s="21"/>
      <c r="O228" s="21"/>
      <c r="P228" s="21"/>
      <c r="Q228" s="21"/>
      <c r="R228" s="21"/>
      <c r="S228" s="21"/>
      <c r="T228" s="21"/>
      <c r="U228" s="21"/>
      <c r="V228" s="21"/>
    </row>
    <row r="229" spans="1:22" s="2" customFormat="1" ht="40.15" customHeight="1" x14ac:dyDescent="0.25">
      <c r="A229" s="542"/>
      <c r="B229" s="242" t="s">
        <v>139</v>
      </c>
      <c r="C229" s="342" t="s">
        <v>1139</v>
      </c>
      <c r="D229" s="100">
        <f t="shared" si="18"/>
        <v>675</v>
      </c>
      <c r="E229" s="427" t="s">
        <v>174</v>
      </c>
      <c r="F229" s="767" t="s">
        <v>240</v>
      </c>
      <c r="G229" s="925"/>
      <c r="H229" s="956" t="s">
        <v>2753</v>
      </c>
      <c r="I229" s="922" t="s">
        <v>263</v>
      </c>
      <c r="J229" s="198" t="str">
        <f>IF(F229="","Belum Terisi",IF(AND(F227="Tidak Ada",F229&lt;&gt;"-"),"CEK",IF(AND(F227="Ada",F229="-"),"CEK","")))</f>
        <v/>
      </c>
      <c r="K229" s="31" t="str">
        <f>IF(J229="CEK",F227&amp;" Wisata Air Terjun","")</f>
        <v/>
      </c>
      <c r="L229" s="43"/>
      <c r="M229" s="21"/>
      <c r="N229" s="21"/>
      <c r="O229" s="21"/>
      <c r="P229" s="21"/>
      <c r="Q229" s="21"/>
      <c r="R229" s="21"/>
      <c r="S229" s="21"/>
      <c r="T229" s="21"/>
      <c r="U229" s="21"/>
      <c r="V229" s="21"/>
    </row>
    <row r="230" spans="1:22" s="2" customFormat="1" ht="40.15" customHeight="1" x14ac:dyDescent="0.25">
      <c r="A230" s="542"/>
      <c r="B230" s="242" t="s">
        <v>251</v>
      </c>
      <c r="C230" s="362" t="s">
        <v>790</v>
      </c>
      <c r="D230" s="100">
        <f t="shared" si="18"/>
        <v>676</v>
      </c>
      <c r="E230" s="463" t="s">
        <v>174</v>
      </c>
      <c r="F230" s="767" t="s">
        <v>240</v>
      </c>
      <c r="G230" s="925"/>
      <c r="H230" s="956">
        <v>91</v>
      </c>
      <c r="I230" s="923" t="s">
        <v>912</v>
      </c>
      <c r="J230" s="198" t="str">
        <f>IF(F230="","Belum Terisi",IF(AND(F227="Tidak Ada",F230&lt;&gt;"-"),"CEK",IF(AND(F227="Ada",F230="-"),"CEK","")))</f>
        <v/>
      </c>
      <c r="K230" s="31" t="str">
        <f>IF(J230="CEK",F227&amp;" Wisata Air Terjun","")</f>
        <v/>
      </c>
      <c r="L230" s="43"/>
      <c r="M230" s="21"/>
      <c r="N230" s="21"/>
      <c r="O230" s="21"/>
      <c r="P230" s="21"/>
      <c r="Q230" s="21"/>
      <c r="R230" s="21"/>
      <c r="S230" s="21"/>
      <c r="T230" s="21"/>
      <c r="U230" s="21"/>
      <c r="V230" s="21"/>
    </row>
    <row r="231" spans="1:22" s="2" customFormat="1" ht="30" customHeight="1" x14ac:dyDescent="0.25">
      <c r="A231" s="542"/>
      <c r="B231" s="242" t="s">
        <v>255</v>
      </c>
      <c r="C231" s="342" t="s">
        <v>1155</v>
      </c>
      <c r="D231" s="100">
        <f t="shared" si="18"/>
        <v>677</v>
      </c>
      <c r="E231" s="427" t="s">
        <v>171</v>
      </c>
      <c r="F231" s="694" t="s">
        <v>263</v>
      </c>
      <c r="G231" s="925"/>
      <c r="H231" s="956" t="s">
        <v>2767</v>
      </c>
      <c r="I231" s="923" t="s">
        <v>263</v>
      </c>
      <c r="J231" s="198" t="str">
        <f>IF(F231="","Belum Terisi",IF(AND(F227="Tidak Ada",F231&lt;&gt;"Tidak Ada"),"CEK",IF(AND(F227="Ada",F231="Tidak Ada"),"CEK","")))</f>
        <v/>
      </c>
      <c r="K231" s="31" t="str">
        <f>IF(J231="CEK",F227&amp;" Wisata Air Terjun","")</f>
        <v/>
      </c>
      <c r="L231" s="43"/>
      <c r="M231" s="21"/>
      <c r="N231" s="21"/>
      <c r="O231" s="21"/>
      <c r="P231" s="21"/>
      <c r="Q231" s="21"/>
      <c r="R231" s="21"/>
      <c r="S231" s="21"/>
      <c r="T231" s="21"/>
      <c r="U231" s="21"/>
      <c r="V231" s="21"/>
    </row>
    <row r="232" spans="1:22" s="2" customFormat="1" ht="30" customHeight="1" x14ac:dyDescent="0.25">
      <c r="A232" s="542"/>
      <c r="B232" s="242" t="s">
        <v>252</v>
      </c>
      <c r="C232" s="342" t="s">
        <v>663</v>
      </c>
      <c r="D232" s="100">
        <f t="shared" si="18"/>
        <v>678</v>
      </c>
      <c r="E232" s="427" t="s">
        <v>171</v>
      </c>
      <c r="F232" s="694" t="s">
        <v>263</v>
      </c>
      <c r="G232" s="925"/>
      <c r="H232" s="956" t="s">
        <v>2768</v>
      </c>
      <c r="I232" s="923" t="s">
        <v>263</v>
      </c>
      <c r="J232" s="198" t="str">
        <f>IF(F232="","Belum Terisi",IF(AND(F227="Tidak Ada",F232&lt;&gt;"Tidak Ada"),"CEK",IF(AND(F227="Ada",F232="Tidak Ada"),"CEK","")))</f>
        <v/>
      </c>
      <c r="K232" s="31" t="str">
        <f>IF(J232="CEK",F227&amp;" Wisata Air Terjun","")</f>
        <v/>
      </c>
      <c r="L232" s="43"/>
      <c r="M232" s="21"/>
      <c r="N232" s="21"/>
      <c r="O232" s="21"/>
      <c r="P232" s="21"/>
      <c r="Q232" s="21"/>
      <c r="R232" s="21"/>
      <c r="S232" s="21"/>
      <c r="T232" s="21"/>
      <c r="U232" s="21"/>
      <c r="V232" s="21"/>
    </row>
    <row r="233" spans="1:22" s="2" customFormat="1" ht="40.15" customHeight="1" x14ac:dyDescent="0.25">
      <c r="A233" s="542"/>
      <c r="B233" s="242" t="s">
        <v>253</v>
      </c>
      <c r="C233" s="342" t="s">
        <v>807</v>
      </c>
      <c r="D233" s="100">
        <f t="shared" si="18"/>
        <v>679</v>
      </c>
      <c r="E233" s="427" t="s">
        <v>171</v>
      </c>
      <c r="F233" s="694" t="s">
        <v>263</v>
      </c>
      <c r="G233" s="925"/>
      <c r="H233" s="956">
        <v>96</v>
      </c>
      <c r="I233" s="923" t="s">
        <v>912</v>
      </c>
      <c r="J233" s="198" t="str">
        <f>IF(F233="","Belum Terisi",IF(AND(F227="Tidak Ada",F233&lt;&gt;"Tidak Ada"),"CEK",IF(AND(F227="Ada",F233="Tidak Ada"),"CEK","")))</f>
        <v/>
      </c>
      <c r="K233" s="31" t="str">
        <f>IF(J233="CEK",F227&amp;" Wisata Air Terjun","")</f>
        <v/>
      </c>
      <c r="L233" s="43"/>
      <c r="M233" s="21"/>
      <c r="N233" s="21"/>
      <c r="O233" s="21"/>
      <c r="P233" s="21"/>
      <c r="Q233" s="21"/>
      <c r="R233" s="21"/>
      <c r="S233" s="21"/>
      <c r="T233" s="21"/>
      <c r="U233" s="21"/>
      <c r="V233" s="21"/>
    </row>
    <row r="234" spans="1:22" s="2" customFormat="1" ht="30" customHeight="1" x14ac:dyDescent="0.25">
      <c r="A234" s="542"/>
      <c r="B234" s="242" t="s">
        <v>254</v>
      </c>
      <c r="C234" s="342" t="s">
        <v>662</v>
      </c>
      <c r="D234" s="100">
        <f t="shared" si="18"/>
        <v>680</v>
      </c>
      <c r="E234" s="427" t="s">
        <v>171</v>
      </c>
      <c r="F234" s="694" t="s">
        <v>263</v>
      </c>
      <c r="G234" s="925"/>
      <c r="H234" s="956" t="s">
        <v>2772</v>
      </c>
      <c r="I234" s="923" t="s">
        <v>263</v>
      </c>
      <c r="J234" s="198" t="str">
        <f>IF(F234="","Belum Terisi",IF(AND(F227="Tidak Ada",F234&lt;&gt;"Tidak Ada"),"CEK",IF(AND(F227="Ada",F234="Tidak Ada"),"CEK",IF(AND(F227="Ada",F232="&lt;500 meter",OR(F234="500-1.000 meter",F234="1.000-1.500 meter",F234="&gt;1.500 meter")),"CEK",""))))</f>
        <v/>
      </c>
      <c r="K234" s="31" t="str">
        <f>IF(AND(J234="CEK",F227="Tidak Ada"),F227&amp;" Wisata Air Terjun",IF(AND(J234="CEK",F232="&lt;500 meter",OR(F234="500-1.000 meter",F234="1.000-1.500 meter",F234="&gt;1.500 meter")),"Panjang Jalan Rusak Melebihi Jarak Menuju Objek Wisata Air Terjun",""))</f>
        <v/>
      </c>
      <c r="L234" s="43"/>
      <c r="M234" s="21"/>
      <c r="N234" s="21"/>
      <c r="O234" s="21"/>
      <c r="P234" s="21"/>
      <c r="Q234" s="21"/>
      <c r="R234" s="21"/>
      <c r="S234" s="21"/>
      <c r="T234" s="21"/>
      <c r="U234" s="21"/>
      <c r="V234" s="21"/>
    </row>
    <row r="235" spans="1:22" s="2" customFormat="1" ht="30" customHeight="1" x14ac:dyDescent="0.25">
      <c r="A235" s="541"/>
      <c r="B235" s="242" t="s">
        <v>256</v>
      </c>
      <c r="C235" s="342" t="s">
        <v>661</v>
      </c>
      <c r="D235" s="100">
        <f t="shared" si="18"/>
        <v>681</v>
      </c>
      <c r="E235" s="427" t="s">
        <v>171</v>
      </c>
      <c r="F235" s="697" t="s">
        <v>263</v>
      </c>
      <c r="G235" s="925"/>
      <c r="H235" s="956">
        <v>95</v>
      </c>
      <c r="I235" s="923" t="s">
        <v>912</v>
      </c>
      <c r="J235" s="198" t="str">
        <f>IF(F235="","Belum Terisi",IF(AND(F227="tidak Ada",F235&lt;&gt;"Tidak Ada"),"CEK",""))</f>
        <v/>
      </c>
      <c r="K235" s="31"/>
      <c r="L235" s="43"/>
      <c r="M235" s="21"/>
      <c r="N235" s="21"/>
      <c r="O235" s="21"/>
      <c r="P235" s="21"/>
      <c r="Q235" s="21"/>
      <c r="R235" s="21"/>
      <c r="S235" s="21"/>
      <c r="T235" s="21"/>
      <c r="U235" s="21"/>
      <c r="V235" s="21"/>
    </row>
    <row r="236" spans="1:22" s="2" customFormat="1" ht="30" customHeight="1" x14ac:dyDescent="0.25">
      <c r="A236" s="648">
        <f>A227+1</f>
        <v>53</v>
      </c>
      <c r="B236" s="359"/>
      <c r="C236" s="360" t="s">
        <v>1123</v>
      </c>
      <c r="D236" s="100">
        <f t="shared" si="18"/>
        <v>682</v>
      </c>
      <c r="E236" s="427" t="s">
        <v>171</v>
      </c>
      <c r="F236" s="693" t="s">
        <v>263</v>
      </c>
      <c r="G236" s="925"/>
      <c r="H236" s="956" t="s">
        <v>2771</v>
      </c>
      <c r="I236" s="923" t="s">
        <v>263</v>
      </c>
      <c r="J236" s="198" t="str">
        <f>IF(LEN(F236)&gt;0,"","Belum Terisi")</f>
        <v/>
      </c>
      <c r="K236" s="31"/>
      <c r="L236" s="43"/>
      <c r="M236" s="21"/>
      <c r="N236" s="21"/>
      <c r="O236" s="21"/>
      <c r="P236" s="21"/>
      <c r="Q236" s="21"/>
      <c r="R236" s="21"/>
      <c r="S236" s="21"/>
      <c r="T236" s="21"/>
      <c r="U236" s="21"/>
      <c r="V236" s="21"/>
    </row>
    <row r="237" spans="1:22" s="2" customFormat="1" ht="40.15" customHeight="1" x14ac:dyDescent="0.25">
      <c r="A237" s="542"/>
      <c r="B237" s="242" t="s">
        <v>41</v>
      </c>
      <c r="C237" s="361" t="s">
        <v>789</v>
      </c>
      <c r="D237" s="100">
        <f t="shared" si="18"/>
        <v>683</v>
      </c>
      <c r="E237" s="504" t="s">
        <v>174</v>
      </c>
      <c r="F237" s="767" t="s">
        <v>240</v>
      </c>
      <c r="G237" s="925"/>
      <c r="H237" s="956">
        <v>93</v>
      </c>
      <c r="I237" s="923" t="s">
        <v>912</v>
      </c>
      <c r="J237" s="198" t="str">
        <f>IF(F237="","Belum Terisi",IF(AND(F236="Tidak Ada",F237&lt;&gt;"-"),"CEK",IF(AND(F236="Ada",F237="-"),"CEK","")))</f>
        <v/>
      </c>
      <c r="K237" s="31" t="str">
        <f>IF(J237="CEK",F236&amp;" Wisata Pemandian Air Panas","")</f>
        <v/>
      </c>
      <c r="L237" s="43"/>
      <c r="M237" s="21"/>
      <c r="N237" s="21"/>
      <c r="O237" s="21"/>
      <c r="P237" s="21"/>
      <c r="Q237" s="21"/>
      <c r="R237" s="21"/>
      <c r="S237" s="21"/>
      <c r="T237" s="21"/>
      <c r="U237" s="21"/>
      <c r="V237" s="21"/>
    </row>
    <row r="238" spans="1:22" s="2" customFormat="1" ht="40.15" customHeight="1" x14ac:dyDescent="0.25">
      <c r="A238" s="542"/>
      <c r="B238" s="242" t="s">
        <v>139</v>
      </c>
      <c r="C238" s="342" t="s">
        <v>1140</v>
      </c>
      <c r="D238" s="100">
        <f t="shared" si="18"/>
        <v>684</v>
      </c>
      <c r="E238" s="427" t="s">
        <v>174</v>
      </c>
      <c r="F238" s="767" t="s">
        <v>240</v>
      </c>
      <c r="G238" s="925"/>
      <c r="H238" s="956" t="s">
        <v>2769</v>
      </c>
      <c r="I238" s="923" t="s">
        <v>263</v>
      </c>
      <c r="J238" s="198" t="str">
        <f>IF(F238="","Belum Terisi",IF(AND(F236="Tidak Ada",F238&lt;&gt;"-"),"CEK",IF(AND(F236="Ada",F238="-"),"CEK","")))</f>
        <v/>
      </c>
      <c r="K238" s="31" t="str">
        <f>IF(J238="CEK",F236&amp;" Wisata Pemandian Air Panas","")</f>
        <v/>
      </c>
      <c r="L238" s="43"/>
      <c r="M238" s="21"/>
      <c r="N238" s="21"/>
      <c r="O238" s="21"/>
      <c r="P238" s="21"/>
      <c r="Q238" s="21"/>
      <c r="R238" s="21"/>
      <c r="S238" s="21"/>
      <c r="T238" s="21"/>
      <c r="U238" s="21"/>
      <c r="V238" s="21"/>
    </row>
    <row r="239" spans="1:22" s="2" customFormat="1" ht="40.15" customHeight="1" x14ac:dyDescent="0.25">
      <c r="A239" s="542"/>
      <c r="B239" s="242" t="s">
        <v>251</v>
      </c>
      <c r="C239" s="362" t="s">
        <v>790</v>
      </c>
      <c r="D239" s="100">
        <f t="shared" si="18"/>
        <v>685</v>
      </c>
      <c r="E239" s="463" t="s">
        <v>174</v>
      </c>
      <c r="F239" s="767" t="s">
        <v>240</v>
      </c>
      <c r="G239" s="925"/>
      <c r="H239" s="956" t="s">
        <v>2770</v>
      </c>
      <c r="I239" s="923" t="s">
        <v>263</v>
      </c>
      <c r="J239" s="198" t="str">
        <f>IF(F239="","Belum Terisi",IF(AND(F236="Tidak Ada",F239&lt;&gt;"-"),"CEK",IF(AND(F236="Ada",F239="-"),"CEK","")))</f>
        <v/>
      </c>
      <c r="K239" s="31" t="str">
        <f>IF(J239="CEK",F236&amp;" Wisata Pemandian Air Panas","")</f>
        <v/>
      </c>
      <c r="L239" s="43"/>
      <c r="M239" s="21"/>
      <c r="N239" s="21"/>
      <c r="O239" s="21"/>
      <c r="P239" s="21"/>
      <c r="Q239" s="21"/>
      <c r="R239" s="21"/>
      <c r="S239" s="21"/>
      <c r="T239" s="21"/>
      <c r="U239" s="21"/>
      <c r="V239" s="21"/>
    </row>
    <row r="240" spans="1:22" s="2" customFormat="1" ht="30" customHeight="1" x14ac:dyDescent="0.25">
      <c r="A240" s="542"/>
      <c r="B240" s="242" t="s">
        <v>255</v>
      </c>
      <c r="C240" s="342" t="s">
        <v>1156</v>
      </c>
      <c r="D240" s="100">
        <f t="shared" si="18"/>
        <v>686</v>
      </c>
      <c r="E240" s="427" t="s">
        <v>171</v>
      </c>
      <c r="F240" s="694" t="s">
        <v>263</v>
      </c>
      <c r="G240" s="925"/>
      <c r="H240" s="956">
        <v>14</v>
      </c>
      <c r="I240" s="923" t="s">
        <v>911</v>
      </c>
      <c r="J240" s="198" t="str">
        <f>IF(F240="","Belum Terisi",IF(AND(F236="Tidak Ada",F240&lt;&gt;"Tidak Ada"),"CEK",IF(AND(F236="Ada",F240="Tidak Ada"),"CEK","")))</f>
        <v/>
      </c>
      <c r="K240" s="31" t="str">
        <f>IF(J240="CEK",F236&amp;" Wisata Pemandian Air Panas","")</f>
        <v/>
      </c>
      <c r="L240" s="43"/>
      <c r="M240" s="21"/>
      <c r="N240" s="21"/>
      <c r="O240" s="21"/>
      <c r="P240" s="21"/>
      <c r="Q240" s="21"/>
      <c r="R240" s="21"/>
      <c r="S240" s="21"/>
      <c r="T240" s="21"/>
      <c r="U240" s="21"/>
      <c r="V240" s="21"/>
    </row>
    <row r="241" spans="1:22" s="2" customFormat="1" ht="30" customHeight="1" x14ac:dyDescent="0.25">
      <c r="A241" s="542"/>
      <c r="B241" s="242" t="s">
        <v>252</v>
      </c>
      <c r="C241" s="342" t="s">
        <v>663</v>
      </c>
      <c r="D241" s="100">
        <f t="shared" si="18"/>
        <v>687</v>
      </c>
      <c r="E241" s="427" t="s">
        <v>171</v>
      </c>
      <c r="F241" s="694" t="s">
        <v>263</v>
      </c>
      <c r="G241" s="925"/>
      <c r="H241" s="956">
        <v>14</v>
      </c>
      <c r="I241" s="923" t="s">
        <v>914</v>
      </c>
      <c r="J241" s="198" t="str">
        <f>IF(F241="","Belum Terisi",IF(AND(F236="Tidak Ada",F241&lt;&gt;"Tidak Ada"),"CEK",IF(AND(F236="Ada",F241="Tidak Ada"),"CEK","")))</f>
        <v/>
      </c>
      <c r="K241" s="31" t="str">
        <f>IF(J241="CEK",F236&amp;" Wisata Pemandian Air Panas","")</f>
        <v/>
      </c>
      <c r="L241" s="43"/>
      <c r="M241" s="21"/>
      <c r="N241" s="21"/>
      <c r="O241" s="21"/>
      <c r="P241" s="21"/>
      <c r="Q241" s="21"/>
      <c r="R241" s="21"/>
      <c r="S241" s="21"/>
      <c r="T241" s="21"/>
      <c r="U241" s="21"/>
      <c r="V241" s="21"/>
    </row>
    <row r="242" spans="1:22" s="2" customFormat="1" ht="40.15" customHeight="1" x14ac:dyDescent="0.25">
      <c r="A242" s="542"/>
      <c r="B242" s="242" t="s">
        <v>253</v>
      </c>
      <c r="C242" s="342" t="s">
        <v>807</v>
      </c>
      <c r="D242" s="100">
        <f t="shared" si="18"/>
        <v>688</v>
      </c>
      <c r="E242" s="427" t="s">
        <v>171</v>
      </c>
      <c r="F242" s="694" t="s">
        <v>263</v>
      </c>
      <c r="G242" s="925"/>
      <c r="H242" s="956" t="s">
        <v>2739</v>
      </c>
      <c r="I242" s="923" t="s">
        <v>263</v>
      </c>
      <c r="J242" s="198" t="str">
        <f>IF(F242="","Belum Terisi",IF(AND(F236="Tidak Ada",F242&lt;&gt;"Tidak Ada"),"CEK",IF(AND(F236="Ada",F242="Tidak Ada"),"CEK","")))</f>
        <v/>
      </c>
      <c r="K242" s="31" t="str">
        <f>IF(J242="CEK",F236&amp;" Wisata Pemandian Air Panas","")</f>
        <v/>
      </c>
      <c r="L242" s="43"/>
      <c r="M242" s="21"/>
      <c r="N242" s="21"/>
      <c r="O242" s="21"/>
      <c r="P242" s="21"/>
      <c r="Q242" s="21"/>
      <c r="R242" s="21"/>
      <c r="S242" s="21"/>
      <c r="T242" s="21"/>
      <c r="U242" s="21"/>
      <c r="V242" s="21"/>
    </row>
    <row r="243" spans="1:22" s="2" customFormat="1" ht="30" customHeight="1" x14ac:dyDescent="0.25">
      <c r="A243" s="542"/>
      <c r="B243" s="242" t="s">
        <v>254</v>
      </c>
      <c r="C243" s="342" t="s">
        <v>662</v>
      </c>
      <c r="D243" s="100">
        <f t="shared" si="18"/>
        <v>689</v>
      </c>
      <c r="E243" s="427" t="s">
        <v>171</v>
      </c>
      <c r="F243" s="694" t="s">
        <v>263</v>
      </c>
      <c r="G243" s="925"/>
      <c r="H243" s="956" t="s">
        <v>2764</v>
      </c>
      <c r="I243" s="923" t="s">
        <v>263</v>
      </c>
      <c r="J243" s="198" t="str">
        <f>IF(F243="","Belum Terisi",IF(AND(F236="Tidak Ada",F243&lt;&gt;"Tidak Ada"),"CEK",IF(AND(F236="Ada",F243="Tidak Ada"),"CEK",IF(AND(F236="Ada",F241="&lt;500 meter",OR(F243="500-1.000 meter",F243="1.000-1.500 meter",F243="&gt;1.500 meter")),"CEK",""))))</f>
        <v/>
      </c>
      <c r="K243" s="31" t="str">
        <f>IF(AND(J243="CEK",F236="Tidak Ada"),F236&amp;" Wisata Sumber Air Panas",IF(AND(J243="CEK",F241="&lt;500 meter",OR(F243="500-1.000 meter",F243="1.000-1.500 meter",F243="&gt;1.500 meter")),"Panjang Jalan Rusak Melebihi Jarak Menuju Objek Wisata Sumber Air Panas",""))</f>
        <v/>
      </c>
      <c r="L243" s="43"/>
      <c r="M243" s="21"/>
      <c r="N243" s="21"/>
      <c r="O243" s="21"/>
      <c r="P243" s="21"/>
      <c r="Q243" s="21"/>
      <c r="R243" s="21"/>
      <c r="S243" s="21"/>
      <c r="T243" s="21"/>
      <c r="U243" s="21"/>
      <c r="V243" s="21"/>
    </row>
    <row r="244" spans="1:22" s="2" customFormat="1" ht="30" customHeight="1" x14ac:dyDescent="0.25">
      <c r="A244" s="541"/>
      <c r="B244" s="242" t="s">
        <v>256</v>
      </c>
      <c r="C244" s="342" t="s">
        <v>661</v>
      </c>
      <c r="D244" s="100">
        <f t="shared" si="18"/>
        <v>690</v>
      </c>
      <c r="E244" s="427" t="s">
        <v>171</v>
      </c>
      <c r="F244" s="697" t="s">
        <v>263</v>
      </c>
      <c r="G244" s="925"/>
      <c r="H244" s="956" t="s">
        <v>2761</v>
      </c>
      <c r="I244" s="923" t="s">
        <v>263</v>
      </c>
      <c r="J244" s="198" t="str">
        <f>IF(F244="","Belum Terisi",IF(AND(F236="tidak Ada",F244&lt;&gt;"Tidak Ada"),"CEK",""))</f>
        <v/>
      </c>
      <c r="K244" s="31"/>
      <c r="L244" s="43"/>
      <c r="M244" s="21"/>
      <c r="N244" s="21"/>
      <c r="O244" s="21"/>
      <c r="P244" s="21"/>
      <c r="Q244" s="21"/>
      <c r="R244" s="21"/>
      <c r="S244" s="21"/>
      <c r="T244" s="21"/>
      <c r="U244" s="21"/>
      <c r="V244" s="21"/>
    </row>
    <row r="245" spans="1:22" s="2" customFormat="1" ht="30" customHeight="1" x14ac:dyDescent="0.25">
      <c r="A245" s="648">
        <f>A236+1</f>
        <v>54</v>
      </c>
      <c r="B245" s="359"/>
      <c r="C245" s="360" t="s">
        <v>1124</v>
      </c>
      <c r="D245" s="100">
        <f t="shared" si="18"/>
        <v>691</v>
      </c>
      <c r="E245" s="427" t="s">
        <v>171</v>
      </c>
      <c r="F245" s="693" t="s">
        <v>263</v>
      </c>
      <c r="G245" s="925"/>
      <c r="H245" s="956" t="s">
        <v>2760</v>
      </c>
      <c r="I245" s="923" t="s">
        <v>263</v>
      </c>
      <c r="J245" s="198" t="str">
        <f>IF(LEN(F245)&gt;0,"","Belum Terisi")</f>
        <v/>
      </c>
      <c r="K245" s="31"/>
      <c r="L245" s="43"/>
      <c r="M245" s="21"/>
      <c r="N245" s="21"/>
      <c r="O245" s="21"/>
      <c r="P245" s="21"/>
      <c r="Q245" s="21"/>
      <c r="R245" s="21"/>
      <c r="S245" s="21"/>
      <c r="T245" s="21"/>
      <c r="U245" s="21"/>
      <c r="V245" s="21"/>
    </row>
    <row r="246" spans="1:22" s="2" customFormat="1" ht="40.15" customHeight="1" x14ac:dyDescent="0.25">
      <c r="A246" s="542"/>
      <c r="B246" s="242" t="s">
        <v>41</v>
      </c>
      <c r="C246" s="342" t="s">
        <v>1141</v>
      </c>
      <c r="D246" s="100">
        <f t="shared" si="18"/>
        <v>692</v>
      </c>
      <c r="E246" s="504" t="s">
        <v>174</v>
      </c>
      <c r="F246" s="767" t="s">
        <v>240</v>
      </c>
      <c r="G246" s="925"/>
      <c r="H246" s="956" t="s">
        <v>2762</v>
      </c>
      <c r="I246" s="923" t="s">
        <v>263</v>
      </c>
      <c r="J246" s="198" t="str">
        <f>IF(F246="","Belum Terisi",IF(AND(F245="Tidak Ada",F246&lt;&gt;"-"),"CEK",IF(AND(F245="Ada",F246="-"),"CEK","")))</f>
        <v/>
      </c>
      <c r="K246" s="31" t="str">
        <f>IF(J246="CEK",F245&amp;" Wisata "&amp;F246,"")</f>
        <v/>
      </c>
      <c r="L246" s="43"/>
      <c r="M246" s="21"/>
      <c r="N246" s="21"/>
      <c r="O246" s="21"/>
      <c r="P246" s="21"/>
      <c r="Q246" s="21"/>
      <c r="R246" s="21"/>
      <c r="S246" s="21"/>
      <c r="T246" s="21"/>
      <c r="U246" s="21"/>
      <c r="V246" s="21"/>
    </row>
    <row r="247" spans="1:22" s="2" customFormat="1" ht="40.15" customHeight="1" x14ac:dyDescent="0.25">
      <c r="A247" s="542"/>
      <c r="B247" s="242" t="s">
        <v>139</v>
      </c>
      <c r="C247" s="342" t="s">
        <v>1157</v>
      </c>
      <c r="D247" s="100">
        <f t="shared" ref="D247:D253" si="19">D246+1</f>
        <v>693</v>
      </c>
      <c r="E247" s="427" t="s">
        <v>174</v>
      </c>
      <c r="F247" s="767" t="s">
        <v>240</v>
      </c>
      <c r="G247" s="925"/>
      <c r="H247" s="956">
        <v>71</v>
      </c>
      <c r="I247" s="923" t="s">
        <v>915</v>
      </c>
      <c r="J247" s="198" t="str">
        <f>IF(F247="","Belum Terisi",IF(AND(F245="Tidak Ada",F247&lt;&gt;"-"),"CEK",IF(AND(F245="Ada",F247="-"),"CEK","")))</f>
        <v/>
      </c>
      <c r="K247" s="31" t="str">
        <f>IF(J247="CEK",F245&amp;" Wisata "&amp;F246,"")</f>
        <v/>
      </c>
      <c r="L247" s="43"/>
      <c r="M247" s="21"/>
      <c r="N247" s="21"/>
      <c r="O247" s="21"/>
      <c r="P247" s="21"/>
      <c r="Q247" s="21"/>
      <c r="R247" s="21"/>
      <c r="S247" s="21"/>
      <c r="T247" s="21"/>
      <c r="U247" s="21"/>
      <c r="V247" s="21"/>
    </row>
    <row r="248" spans="1:22" s="2" customFormat="1" ht="40.15" customHeight="1" x14ac:dyDescent="0.25">
      <c r="A248" s="542"/>
      <c r="B248" s="242" t="s">
        <v>251</v>
      </c>
      <c r="C248" s="362" t="s">
        <v>790</v>
      </c>
      <c r="D248" s="100">
        <f t="shared" si="19"/>
        <v>694</v>
      </c>
      <c r="E248" s="463" t="s">
        <v>174</v>
      </c>
      <c r="F248" s="767" t="s">
        <v>240</v>
      </c>
      <c r="G248" s="925"/>
      <c r="H248" s="956" t="s">
        <v>2759</v>
      </c>
      <c r="I248" s="923" t="s">
        <v>263</v>
      </c>
      <c r="J248" s="198" t="str">
        <f>IF(F248="","Belum Terisi",IF(AND(F245="Tidak Ada",F248&lt;&gt;"-"),"CEK",IF(AND(F245="Ada",F248="-"),"CEK","")))</f>
        <v/>
      </c>
      <c r="K248" s="31" t="str">
        <f>IF(J248="CEK",F245&amp;" Wisata "&amp;F246,"")</f>
        <v/>
      </c>
      <c r="L248" s="43"/>
      <c r="M248" s="21"/>
      <c r="N248" s="21"/>
      <c r="O248" s="21"/>
      <c r="P248" s="21"/>
      <c r="Q248" s="21"/>
      <c r="R248" s="21"/>
      <c r="S248" s="21"/>
      <c r="T248" s="21"/>
      <c r="U248" s="21"/>
      <c r="V248" s="21"/>
    </row>
    <row r="249" spans="1:22" s="2" customFormat="1" ht="30" customHeight="1" x14ac:dyDescent="0.25">
      <c r="A249" s="542"/>
      <c r="B249" s="242" t="s">
        <v>255</v>
      </c>
      <c r="C249" s="342" t="s">
        <v>1156</v>
      </c>
      <c r="D249" s="100">
        <f t="shared" si="19"/>
        <v>695</v>
      </c>
      <c r="E249" s="427" t="s">
        <v>171</v>
      </c>
      <c r="F249" s="694" t="s">
        <v>263</v>
      </c>
      <c r="G249" s="925"/>
      <c r="H249" s="956" t="s">
        <v>2738</v>
      </c>
      <c r="I249" s="923" t="s">
        <v>263</v>
      </c>
      <c r="J249" s="198" t="str">
        <f>IF(F249="","Belum Terisi",IF(AND(F245="Tidak Ada",F249&lt;&gt;"Tidak Ada"),"CEK",IF(AND(F245="Ada",F249="Tidak Ada"),"CEK","")))</f>
        <v/>
      </c>
      <c r="K249" s="31" t="str">
        <f>IF(J249="CEK",F245&amp;" Wisata "&amp;F246,"")</f>
        <v/>
      </c>
      <c r="L249" s="43"/>
      <c r="M249" s="21"/>
      <c r="N249" s="21"/>
      <c r="O249" s="21"/>
      <c r="P249" s="21"/>
      <c r="Q249" s="21"/>
      <c r="R249" s="21"/>
      <c r="S249" s="21"/>
      <c r="T249" s="21"/>
      <c r="U249" s="21"/>
      <c r="V249" s="21"/>
    </row>
    <row r="250" spans="1:22" s="2" customFormat="1" ht="30" customHeight="1" x14ac:dyDescent="0.25">
      <c r="A250" s="542"/>
      <c r="B250" s="242" t="s">
        <v>252</v>
      </c>
      <c r="C250" s="342" t="s">
        <v>663</v>
      </c>
      <c r="D250" s="100">
        <f t="shared" si="19"/>
        <v>696</v>
      </c>
      <c r="E250" s="427" t="s">
        <v>171</v>
      </c>
      <c r="F250" s="694" t="s">
        <v>263</v>
      </c>
      <c r="G250" s="925"/>
      <c r="H250" s="956" t="s">
        <v>2741</v>
      </c>
      <c r="I250" s="923" t="s">
        <v>263</v>
      </c>
      <c r="J250" s="198" t="str">
        <f>IF(F250="","Belum Terisi",IF(AND(F245="Tidak Ada",F250&lt;&gt;"Tidak Ada"),"CEK",IF(AND(F245="Ada",F250="Tidak Ada"),"CEK","")))</f>
        <v/>
      </c>
      <c r="K250" s="31" t="str">
        <f>IF(J250="CEK",F245&amp;" Wisata "&amp;F246,"")</f>
        <v/>
      </c>
      <c r="L250" s="43"/>
      <c r="M250" s="21"/>
      <c r="N250" s="21"/>
      <c r="O250" s="21"/>
      <c r="P250" s="21"/>
      <c r="Q250" s="21"/>
      <c r="R250" s="21"/>
      <c r="S250" s="21"/>
      <c r="T250" s="21"/>
      <c r="U250" s="21"/>
      <c r="V250" s="21"/>
    </row>
    <row r="251" spans="1:22" s="2" customFormat="1" ht="40.15" customHeight="1" x14ac:dyDescent="0.25">
      <c r="A251" s="542"/>
      <c r="B251" s="242" t="s">
        <v>253</v>
      </c>
      <c r="C251" s="342" t="s">
        <v>807</v>
      </c>
      <c r="D251" s="100">
        <f t="shared" si="19"/>
        <v>697</v>
      </c>
      <c r="E251" s="427" t="s">
        <v>171</v>
      </c>
      <c r="F251" s="791" t="s">
        <v>263</v>
      </c>
      <c r="G251" s="925"/>
      <c r="H251" s="956" t="s">
        <v>2737</v>
      </c>
      <c r="I251" s="923" t="s">
        <v>263</v>
      </c>
      <c r="J251" s="198" t="str">
        <f>IF(F251="","Belum Terisi",IF(AND(F245="Tidak Ada",F251&lt;&gt;"Tidak Ada"),"CEK",IF(AND(F245="Ada",F251="Tidak Ada"),"CEK","")))</f>
        <v/>
      </c>
      <c r="K251" s="31" t="str">
        <f>IF(J251="CEK",F245&amp;" Wisata "&amp;F246,"")</f>
        <v/>
      </c>
      <c r="L251" s="43"/>
      <c r="M251" s="21"/>
      <c r="N251" s="21"/>
      <c r="O251" s="21"/>
      <c r="P251" s="21"/>
      <c r="Q251" s="21"/>
      <c r="R251" s="21"/>
      <c r="S251" s="21"/>
      <c r="T251" s="21"/>
      <c r="U251" s="21"/>
      <c r="V251" s="21"/>
    </row>
    <row r="252" spans="1:22" s="2" customFormat="1" ht="30" customHeight="1" x14ac:dyDescent="0.25">
      <c r="A252" s="542"/>
      <c r="B252" s="242" t="s">
        <v>254</v>
      </c>
      <c r="C252" s="342" t="s">
        <v>662</v>
      </c>
      <c r="D252" s="100">
        <f t="shared" si="19"/>
        <v>698</v>
      </c>
      <c r="E252" s="427" t="s">
        <v>171</v>
      </c>
      <c r="F252" s="694" t="s">
        <v>263</v>
      </c>
      <c r="G252" s="924"/>
      <c r="H252" s="925"/>
      <c r="I252" s="925"/>
      <c r="J252" s="198" t="str">
        <f>IF(F252="","Belum Terisi",IF(AND(F245="Tidak Ada",F252&lt;&gt;"Tidak Ada"),"CEK",IF(AND(F245="Ada",F252="Tidak Ada"),"CEK",IF(AND(F245="Ada",F250="&lt;500 meter",OR(F252="500-1.000 meter",F252="1.000-1.500 meter",F252="&gt;1.500 meter")),"CEK",""))))</f>
        <v/>
      </c>
      <c r="K252" s="31" t="str">
        <f>IF(AND(J252="CEK",F245="Tidak Ada"),F245&amp;" Wisata Alam Lainnya",IF(AND(J252="CEK",F250="&lt;500 meter",OR(F252="500-1.000 meter",F252="1.000-1.500 meter",F252="&gt;1.500 meter")),"Panjang Jalan Rusak Melebihi Jarak Menuju Objek Wisata Alam Lainnya",""))</f>
        <v/>
      </c>
      <c r="L252" s="43"/>
      <c r="M252" s="21"/>
      <c r="N252" s="21"/>
      <c r="O252" s="21"/>
      <c r="P252" s="21"/>
      <c r="Q252" s="21"/>
      <c r="R252" s="21"/>
      <c r="S252" s="21"/>
      <c r="T252" s="21"/>
      <c r="U252" s="21"/>
      <c r="V252" s="21"/>
    </row>
    <row r="253" spans="1:22" s="2" customFormat="1" ht="30" customHeight="1" x14ac:dyDescent="0.25">
      <c r="A253" s="541"/>
      <c r="B253" s="242" t="s">
        <v>256</v>
      </c>
      <c r="C253" s="342" t="s">
        <v>661</v>
      </c>
      <c r="D253" s="100">
        <f t="shared" si="19"/>
        <v>699</v>
      </c>
      <c r="E253" s="427" t="s">
        <v>171</v>
      </c>
      <c r="F253" s="697" t="s">
        <v>263</v>
      </c>
      <c r="G253" s="924"/>
      <c r="H253" s="922"/>
      <c r="I253" s="923"/>
      <c r="J253" s="198" t="str">
        <f>IF(F253="","Belum Terisi",IF(AND(F245="tidak Ada",F253&lt;&gt;"Tidak Ada"),"CEK",""))</f>
        <v/>
      </c>
      <c r="K253" s="31"/>
      <c r="L253" s="43"/>
      <c r="M253" s="21"/>
      <c r="N253" s="21"/>
      <c r="O253" s="21"/>
      <c r="P253" s="21"/>
      <c r="Q253" s="21"/>
      <c r="R253" s="21"/>
      <c r="S253" s="21"/>
      <c r="T253" s="21"/>
      <c r="U253" s="21"/>
      <c r="V253" s="21"/>
    </row>
    <row r="254" spans="1:22" s="2" customFormat="1" ht="30" customHeight="1" x14ac:dyDescent="0.25">
      <c r="A254" s="559" t="s">
        <v>232</v>
      </c>
      <c r="B254" s="357"/>
      <c r="C254" s="356"/>
      <c r="D254" s="428"/>
      <c r="E254" s="429"/>
      <c r="F254" s="714"/>
      <c r="G254" s="924"/>
      <c r="H254" s="922"/>
      <c r="I254" s="923"/>
      <c r="J254" s="98"/>
      <c r="K254" s="31"/>
      <c r="L254" s="43"/>
      <c r="M254" s="21"/>
      <c r="N254" s="21"/>
      <c r="O254" s="21"/>
      <c r="P254" s="21"/>
      <c r="Q254" s="21"/>
      <c r="R254" s="21"/>
      <c r="S254" s="21"/>
      <c r="T254" s="21"/>
      <c r="U254" s="21"/>
      <c r="V254" s="21"/>
    </row>
    <row r="255" spans="1:22" s="2" customFormat="1" ht="30" customHeight="1" x14ac:dyDescent="0.25">
      <c r="A255" s="648">
        <f>A245+1</f>
        <v>55</v>
      </c>
      <c r="B255" s="359"/>
      <c r="C255" s="360" t="s">
        <v>1125</v>
      </c>
      <c r="D255" s="100">
        <f>D253+1</f>
        <v>700</v>
      </c>
      <c r="E255" s="427" t="s">
        <v>171</v>
      </c>
      <c r="F255" s="693" t="s">
        <v>263</v>
      </c>
      <c r="G255" s="924"/>
      <c r="H255" s="922"/>
      <c r="I255" s="923"/>
      <c r="J255" s="198" t="str">
        <f>IF(LEN(F255)&gt;0,"","Belum Terisi")</f>
        <v/>
      </c>
      <c r="K255" s="31"/>
      <c r="L255" s="43"/>
      <c r="M255" s="21"/>
      <c r="N255" s="21"/>
      <c r="O255" s="21"/>
      <c r="P255" s="21"/>
      <c r="Q255" s="21"/>
      <c r="R255" s="21"/>
      <c r="S255" s="21"/>
      <c r="T255" s="21"/>
      <c r="U255" s="21"/>
      <c r="V255" s="21"/>
    </row>
    <row r="256" spans="1:22" s="2" customFormat="1" ht="40.15" customHeight="1" x14ac:dyDescent="0.25">
      <c r="A256" s="542"/>
      <c r="B256" s="242" t="s">
        <v>41</v>
      </c>
      <c r="C256" s="361" t="s">
        <v>789</v>
      </c>
      <c r="D256" s="100">
        <f t="shared" ref="D256:D290" si="20">D255+1</f>
        <v>701</v>
      </c>
      <c r="E256" s="504" t="s">
        <v>174</v>
      </c>
      <c r="F256" s="767" t="s">
        <v>240</v>
      </c>
      <c r="G256" s="924"/>
      <c r="H256" s="922"/>
      <c r="I256" s="923"/>
      <c r="J256" s="198" t="str">
        <f>IF(F256="","Belum Terisi",IF(AND(F255="Tidak Ada",F256&lt;&gt;"-"),"CEK",IF(AND(F255="Ada",F256="-"),"CEK","")))</f>
        <v/>
      </c>
      <c r="K256" s="31" t="str">
        <f>IF(J256="CEK",F255&amp;" Wisata Embung","")</f>
        <v/>
      </c>
      <c r="L256" s="43"/>
      <c r="M256" s="21"/>
      <c r="N256" s="21"/>
      <c r="O256" s="21"/>
      <c r="P256" s="21"/>
      <c r="Q256" s="21"/>
      <c r="R256" s="21"/>
      <c r="S256" s="21"/>
      <c r="T256" s="21"/>
      <c r="U256" s="21"/>
      <c r="V256" s="21"/>
    </row>
    <row r="257" spans="1:22" s="2" customFormat="1" ht="40.15" customHeight="1" x14ac:dyDescent="0.25">
      <c r="A257" s="542"/>
      <c r="B257" s="242" t="s">
        <v>139</v>
      </c>
      <c r="C257" s="342" t="s">
        <v>1167</v>
      </c>
      <c r="D257" s="100">
        <f t="shared" si="20"/>
        <v>702</v>
      </c>
      <c r="E257" s="427" t="s">
        <v>174</v>
      </c>
      <c r="F257" s="767" t="s">
        <v>240</v>
      </c>
      <c r="G257" s="924"/>
      <c r="H257" s="922"/>
      <c r="I257" s="923"/>
      <c r="J257" s="198" t="str">
        <f>IF(F257="","Belum Terisi",IF(AND(F255="Tidak Ada",F257&lt;&gt;"-"),"CEK",IF(AND(F255="Ada",F257="-"),"CEK","")))</f>
        <v/>
      </c>
      <c r="K257" s="31" t="str">
        <f>IF(J257="CEK",F255&amp;" Wisata Embung","")</f>
        <v/>
      </c>
      <c r="L257" s="43"/>
      <c r="M257" s="21"/>
      <c r="N257" s="21"/>
      <c r="O257" s="21"/>
      <c r="P257" s="21"/>
      <c r="Q257" s="21"/>
      <c r="R257" s="21"/>
      <c r="S257" s="21"/>
      <c r="T257" s="21"/>
      <c r="U257" s="21"/>
      <c r="V257" s="21"/>
    </row>
    <row r="258" spans="1:22" s="2" customFormat="1" ht="40.15" customHeight="1" x14ac:dyDescent="0.25">
      <c r="A258" s="542"/>
      <c r="B258" s="242" t="s">
        <v>251</v>
      </c>
      <c r="C258" s="362" t="s">
        <v>790</v>
      </c>
      <c r="D258" s="100">
        <f t="shared" si="20"/>
        <v>703</v>
      </c>
      <c r="E258" s="463" t="s">
        <v>174</v>
      </c>
      <c r="F258" s="767" t="s">
        <v>240</v>
      </c>
      <c r="G258" s="924"/>
      <c r="H258" s="922"/>
      <c r="I258" s="923"/>
      <c r="J258" s="198" t="str">
        <f>IF(F258="","Belum Terisi",IF(AND(F255="Tidak Ada",F258&lt;&gt;"-"),"CEK",IF(AND(F255="Ada",F258="-"),"CEK","")))</f>
        <v/>
      </c>
      <c r="K258" s="31" t="str">
        <f>IF(J258="CEK",F255&amp;" Wisata Embung","")</f>
        <v/>
      </c>
      <c r="L258" s="43"/>
      <c r="M258" s="21"/>
      <c r="N258" s="21"/>
      <c r="O258" s="21"/>
      <c r="P258" s="21"/>
      <c r="Q258" s="21"/>
      <c r="R258" s="21"/>
      <c r="S258" s="21"/>
      <c r="T258" s="21"/>
      <c r="U258" s="21"/>
      <c r="V258" s="21"/>
    </row>
    <row r="259" spans="1:22" s="2" customFormat="1" ht="30" customHeight="1" x14ac:dyDescent="0.25">
      <c r="A259" s="542"/>
      <c r="B259" s="242" t="s">
        <v>255</v>
      </c>
      <c r="C259" s="342" t="s">
        <v>1166</v>
      </c>
      <c r="D259" s="100">
        <f t="shared" si="20"/>
        <v>704</v>
      </c>
      <c r="E259" s="427" t="s">
        <v>171</v>
      </c>
      <c r="F259" s="694" t="s">
        <v>263</v>
      </c>
      <c r="G259" s="924"/>
      <c r="H259" s="922"/>
      <c r="I259" s="923"/>
      <c r="J259" s="198" t="str">
        <f>IF(F259="","Belum Terisi",IF(AND(F255="Tidak Ada",F259&lt;&gt;"Tidak Ada"),"CEK",IF(AND(F255="Ada",F259="Tidak Ada"),"CEK","")))</f>
        <v/>
      </c>
      <c r="K259" s="31" t="str">
        <f>IF(J259="CEK",F255&amp;" Wisata Embung","")</f>
        <v/>
      </c>
      <c r="L259" s="43"/>
      <c r="M259" s="21"/>
      <c r="N259" s="21"/>
      <c r="O259" s="21"/>
      <c r="P259" s="21"/>
      <c r="Q259" s="21"/>
      <c r="R259" s="21"/>
      <c r="S259" s="21"/>
      <c r="T259" s="21"/>
      <c r="U259" s="21"/>
      <c r="V259" s="21"/>
    </row>
    <row r="260" spans="1:22" s="2" customFormat="1" ht="30" customHeight="1" x14ac:dyDescent="0.25">
      <c r="A260" s="542"/>
      <c r="B260" s="242" t="s">
        <v>252</v>
      </c>
      <c r="C260" s="342" t="s">
        <v>663</v>
      </c>
      <c r="D260" s="100">
        <f t="shared" si="20"/>
        <v>705</v>
      </c>
      <c r="E260" s="427" t="s">
        <v>171</v>
      </c>
      <c r="F260" s="694" t="s">
        <v>263</v>
      </c>
      <c r="G260" s="924"/>
      <c r="H260" s="922"/>
      <c r="I260" s="923"/>
      <c r="J260" s="198" t="str">
        <f>IF(F260="","Belum Terisi",IF(AND(F255="Tidak Ada",F260&lt;&gt;"Tidak Ada"),"CEK",IF(AND(F255="Ada",F260="Tidak Ada"),"CEK","")))</f>
        <v/>
      </c>
      <c r="K260" s="31" t="str">
        <f>IF(J260="CEK",F255&amp;" Wisata Embung","")</f>
        <v/>
      </c>
      <c r="L260" s="43"/>
      <c r="M260" s="21"/>
      <c r="N260" s="21"/>
      <c r="O260" s="21"/>
      <c r="P260" s="21"/>
      <c r="Q260" s="21"/>
      <c r="R260" s="21"/>
      <c r="S260" s="21"/>
      <c r="T260" s="21"/>
      <c r="U260" s="21"/>
      <c r="V260" s="21"/>
    </row>
    <row r="261" spans="1:22" s="2" customFormat="1" ht="40.15" customHeight="1" x14ac:dyDescent="0.25">
      <c r="A261" s="542"/>
      <c r="B261" s="242" t="s">
        <v>253</v>
      </c>
      <c r="C261" s="342" t="s">
        <v>807</v>
      </c>
      <c r="D261" s="100">
        <f t="shared" si="20"/>
        <v>706</v>
      </c>
      <c r="E261" s="427" t="s">
        <v>171</v>
      </c>
      <c r="F261" s="694" t="s">
        <v>263</v>
      </c>
      <c r="G261" s="924"/>
      <c r="H261" s="922"/>
      <c r="I261" s="923"/>
      <c r="J261" s="198" t="str">
        <f>IF(F261="","Belum Terisi",IF(AND(F255="Tidak Ada",F261&lt;&gt;"Tidak Ada"),"CEK",IF(AND(F255="Ada",F261="Tidak Ada"),"CEK","")))</f>
        <v/>
      </c>
      <c r="K261" s="31" t="str">
        <f>IF(J261="CEK",F255&amp;" Wisata Embung","")</f>
        <v/>
      </c>
      <c r="L261" s="43"/>
      <c r="M261" s="21"/>
      <c r="N261" s="21"/>
      <c r="O261" s="21"/>
      <c r="P261" s="21"/>
      <c r="Q261" s="21"/>
      <c r="R261" s="21"/>
      <c r="S261" s="21"/>
      <c r="T261" s="21"/>
      <c r="U261" s="21"/>
      <c r="V261" s="21"/>
    </row>
    <row r="262" spans="1:22" s="2" customFormat="1" ht="30" customHeight="1" x14ac:dyDescent="0.25">
      <c r="A262" s="542"/>
      <c r="B262" s="242" t="s">
        <v>254</v>
      </c>
      <c r="C262" s="342" t="s">
        <v>662</v>
      </c>
      <c r="D262" s="100">
        <f t="shared" si="20"/>
        <v>707</v>
      </c>
      <c r="E262" s="427" t="s">
        <v>171</v>
      </c>
      <c r="F262" s="694" t="s">
        <v>263</v>
      </c>
      <c r="G262" s="924"/>
      <c r="H262" s="922"/>
      <c r="I262" s="923"/>
      <c r="J262" s="198" t="str">
        <f>IF(F262="","Belum Terisi",IF(AND(F255="Tidak Ada",F262&lt;&gt;"Tidak Ada"),"CEK",IF(AND(F255="Ada",F262="Tidak Ada"),"CEK",IF(AND(F255="Ada",F260="&lt;500 meter",OR(F262="500-1.000 meter",F262="1.000-1.500 meter",F262="&gt;1.500 meter")),"CEK",""))))</f>
        <v/>
      </c>
      <c r="K262" s="31" t="str">
        <f>IF(AND(J262="CEK",F255="Tidak Ada"),F255&amp;" Wisata Embung",IF(AND(J262="CEK",F260="&lt;500 meter",OR(F262="500-1.000 meter",F262="1.000-1.500 meter",F262="&gt;1.500 meter")),"Panjang Jalan Rusak Melebihi Jarak Menuju Objek Wisata Embung",""))</f>
        <v/>
      </c>
      <c r="L262" s="43"/>
      <c r="M262" s="21"/>
      <c r="N262" s="21"/>
      <c r="O262" s="21"/>
      <c r="P262" s="21"/>
      <c r="Q262" s="21"/>
      <c r="R262" s="21"/>
      <c r="S262" s="21"/>
      <c r="T262" s="21"/>
      <c r="U262" s="21"/>
      <c r="V262" s="21"/>
    </row>
    <row r="263" spans="1:22" s="2" customFormat="1" ht="30" customHeight="1" x14ac:dyDescent="0.25">
      <c r="A263" s="541"/>
      <c r="B263" s="242" t="s">
        <v>256</v>
      </c>
      <c r="C263" s="342" t="s">
        <v>661</v>
      </c>
      <c r="D263" s="100">
        <f t="shared" si="20"/>
        <v>708</v>
      </c>
      <c r="E263" s="427" t="s">
        <v>171</v>
      </c>
      <c r="F263" s="697" t="s">
        <v>263</v>
      </c>
      <c r="G263" s="924"/>
      <c r="H263" s="922"/>
      <c r="I263" s="923"/>
      <c r="J263" s="198" t="str">
        <f>IF(F263="","Belum Terisi",IF(AND(F255="tidak Ada",F263&lt;&gt;"Tidak Ada"),"CEK",""))</f>
        <v/>
      </c>
      <c r="K263" s="31"/>
      <c r="L263" s="43"/>
      <c r="M263" s="21"/>
      <c r="N263" s="21"/>
      <c r="O263" s="21"/>
      <c r="P263" s="21"/>
      <c r="Q263" s="21"/>
      <c r="R263" s="21"/>
      <c r="S263" s="21"/>
      <c r="T263" s="21"/>
      <c r="U263" s="21"/>
      <c r="V263" s="21"/>
    </row>
    <row r="264" spans="1:22" s="2" customFormat="1" ht="30" customHeight="1" x14ac:dyDescent="0.25">
      <c r="A264" s="648">
        <f>A255+1</f>
        <v>56</v>
      </c>
      <c r="B264" s="359"/>
      <c r="C264" s="360" t="s">
        <v>1126</v>
      </c>
      <c r="D264" s="100">
        <f t="shared" si="20"/>
        <v>709</v>
      </c>
      <c r="E264" s="427" t="s">
        <v>171</v>
      </c>
      <c r="F264" s="693" t="s">
        <v>263</v>
      </c>
      <c r="G264" s="924"/>
      <c r="H264" s="922"/>
      <c r="I264" s="923"/>
      <c r="J264" s="198" t="str">
        <f>IF(LEN(F264)&gt;0,"","Belum Terisi")</f>
        <v/>
      </c>
      <c r="K264" s="31"/>
      <c r="L264" s="43"/>
      <c r="M264" s="21"/>
      <c r="N264" s="21"/>
      <c r="O264" s="21"/>
      <c r="P264" s="21"/>
      <c r="Q264" s="21"/>
      <c r="R264" s="21"/>
      <c r="S264" s="21"/>
      <c r="T264" s="21"/>
      <c r="U264" s="21"/>
      <c r="V264" s="21"/>
    </row>
    <row r="265" spans="1:22" s="2" customFormat="1" ht="40.15" customHeight="1" x14ac:dyDescent="0.25">
      <c r="A265" s="542"/>
      <c r="B265" s="242" t="s">
        <v>41</v>
      </c>
      <c r="C265" s="361" t="s">
        <v>789</v>
      </c>
      <c r="D265" s="100">
        <f t="shared" si="20"/>
        <v>710</v>
      </c>
      <c r="E265" s="504" t="s">
        <v>174</v>
      </c>
      <c r="F265" s="767" t="s">
        <v>240</v>
      </c>
      <c r="G265" s="924"/>
      <c r="H265" s="922"/>
      <c r="I265" s="923"/>
      <c r="J265" s="198" t="str">
        <f>IF(F265="","Belum Terisi",IF(AND(F264="Tidak Ada",F265&lt;&gt;"-"),"CEK",IF(AND(F264="Ada",F265="-"),"CEK","")))</f>
        <v/>
      </c>
      <c r="K265" s="31" t="str">
        <f>IF(J265="CEK",F264&amp;" Wisata Pemandian Umum","")</f>
        <v/>
      </c>
      <c r="L265" s="43"/>
      <c r="M265" s="21"/>
      <c r="N265" s="21"/>
      <c r="O265" s="21"/>
      <c r="P265" s="21"/>
      <c r="Q265" s="21"/>
      <c r="R265" s="21"/>
      <c r="S265" s="21"/>
      <c r="T265" s="21"/>
      <c r="U265" s="21"/>
      <c r="V265" s="21"/>
    </row>
    <row r="266" spans="1:22" s="2" customFormat="1" ht="40.15" customHeight="1" x14ac:dyDescent="0.25">
      <c r="A266" s="542"/>
      <c r="B266" s="242" t="s">
        <v>139</v>
      </c>
      <c r="C266" s="342" t="s">
        <v>1142</v>
      </c>
      <c r="D266" s="100">
        <f t="shared" si="20"/>
        <v>711</v>
      </c>
      <c r="E266" s="427" t="s">
        <v>174</v>
      </c>
      <c r="F266" s="767" t="s">
        <v>240</v>
      </c>
      <c r="G266" s="924"/>
      <c r="H266" s="922"/>
      <c r="I266" s="923"/>
      <c r="J266" s="198" t="str">
        <f>IF(F266="","Belum Terisi",IF(AND(F264="Tidak Ada",F266&lt;&gt;"-"),"CEK",IF(AND(F264="Ada",F266="-"),"CEK","")))</f>
        <v/>
      </c>
      <c r="K266" s="31" t="str">
        <f>IF(J266="CEK",F264&amp;" Wisata Pemandian Umum","")</f>
        <v/>
      </c>
      <c r="L266" s="43"/>
      <c r="M266" s="21"/>
      <c r="N266" s="21"/>
      <c r="O266" s="21"/>
      <c r="P266" s="21"/>
      <c r="Q266" s="21"/>
      <c r="R266" s="21"/>
      <c r="S266" s="21"/>
      <c r="T266" s="21"/>
      <c r="U266" s="21"/>
      <c r="V266" s="21"/>
    </row>
    <row r="267" spans="1:22" s="2" customFormat="1" ht="40.15" customHeight="1" x14ac:dyDescent="0.25">
      <c r="A267" s="542"/>
      <c r="B267" s="242" t="s">
        <v>251</v>
      </c>
      <c r="C267" s="362" t="s">
        <v>790</v>
      </c>
      <c r="D267" s="100">
        <f t="shared" si="20"/>
        <v>712</v>
      </c>
      <c r="E267" s="463" t="s">
        <v>174</v>
      </c>
      <c r="F267" s="767" t="s">
        <v>240</v>
      </c>
      <c r="G267" s="924"/>
      <c r="H267" s="922"/>
      <c r="I267" s="923"/>
      <c r="J267" s="198" t="str">
        <f>IF(F267="","Belum Terisi",IF(AND(F264="Tidak Ada",F267&lt;&gt;"-"),"CEK",IF(AND(F264="Ada",F267="-"),"CEK","")))</f>
        <v/>
      </c>
      <c r="K267" s="31" t="str">
        <f>IF(J267="CEK",F264&amp;" Wisata Pemandian Umum","")</f>
        <v/>
      </c>
      <c r="L267" s="43"/>
      <c r="M267" s="21"/>
      <c r="N267" s="21"/>
      <c r="O267" s="21"/>
      <c r="P267" s="21"/>
      <c r="Q267" s="21"/>
      <c r="R267" s="21"/>
      <c r="S267" s="21"/>
      <c r="T267" s="21"/>
      <c r="U267" s="21"/>
      <c r="V267" s="21"/>
    </row>
    <row r="268" spans="1:22" s="2" customFormat="1" ht="30" customHeight="1" x14ac:dyDescent="0.25">
      <c r="A268" s="542"/>
      <c r="B268" s="242" t="s">
        <v>255</v>
      </c>
      <c r="C268" s="342" t="s">
        <v>1158</v>
      </c>
      <c r="D268" s="100">
        <f t="shared" si="20"/>
        <v>713</v>
      </c>
      <c r="E268" s="427" t="s">
        <v>171</v>
      </c>
      <c r="F268" s="694" t="s">
        <v>263</v>
      </c>
      <c r="G268" s="924"/>
      <c r="H268" s="922"/>
      <c r="I268" s="923"/>
      <c r="J268" s="198" t="str">
        <f>IF(F268="","Belum Terisi",IF(AND(F264="Tidak Ada",F268&lt;&gt;"Tidak Ada"),"CEK",IF(AND(F264="Ada",F268="Tidak Ada"),"CEK","")))</f>
        <v/>
      </c>
      <c r="K268" s="31" t="str">
        <f>IF(J268="CEK",F264&amp;" Wisata Pemandian Umum","")</f>
        <v/>
      </c>
      <c r="L268" s="43"/>
      <c r="M268" s="21"/>
      <c r="N268" s="21"/>
      <c r="O268" s="21"/>
      <c r="P268" s="21"/>
      <c r="Q268" s="21"/>
      <c r="R268" s="21"/>
      <c r="S268" s="21"/>
      <c r="T268" s="21"/>
      <c r="U268" s="21"/>
      <c r="V268" s="21"/>
    </row>
    <row r="269" spans="1:22" s="2" customFormat="1" ht="30" customHeight="1" x14ac:dyDescent="0.25">
      <c r="A269" s="542"/>
      <c r="B269" s="242" t="s">
        <v>252</v>
      </c>
      <c r="C269" s="342" t="s">
        <v>663</v>
      </c>
      <c r="D269" s="100">
        <f t="shared" si="20"/>
        <v>714</v>
      </c>
      <c r="E269" s="427" t="s">
        <v>171</v>
      </c>
      <c r="F269" s="694" t="s">
        <v>263</v>
      </c>
      <c r="G269" s="924"/>
      <c r="H269" s="922"/>
      <c r="I269" s="923"/>
      <c r="J269" s="198" t="str">
        <f>IF(F269="","Belum Terisi",IF(AND(F264="Tidak Ada",F269&lt;&gt;"Tidak Ada"),"CEK",IF(AND(F264="Ada",F269="Tidak Ada"),"CEK","")))</f>
        <v/>
      </c>
      <c r="K269" s="31" t="str">
        <f>IF(J269="CEK",F264&amp;" Wisata Pemandian Umum","")</f>
        <v/>
      </c>
      <c r="L269" s="43"/>
      <c r="M269" s="21"/>
      <c r="N269" s="21"/>
      <c r="O269" s="21"/>
      <c r="P269" s="21"/>
      <c r="Q269" s="21"/>
      <c r="R269" s="21"/>
      <c r="S269" s="21"/>
      <c r="T269" s="21"/>
      <c r="U269" s="21"/>
      <c r="V269" s="21"/>
    </row>
    <row r="270" spans="1:22" s="2" customFormat="1" ht="40.15" customHeight="1" x14ac:dyDescent="0.25">
      <c r="A270" s="542"/>
      <c r="B270" s="242" t="s">
        <v>253</v>
      </c>
      <c r="C270" s="342" t="s">
        <v>807</v>
      </c>
      <c r="D270" s="100">
        <f t="shared" si="20"/>
        <v>715</v>
      </c>
      <c r="E270" s="427" t="s">
        <v>171</v>
      </c>
      <c r="F270" s="694" t="s">
        <v>263</v>
      </c>
      <c r="G270" s="924"/>
      <c r="H270" s="922"/>
      <c r="I270" s="923"/>
      <c r="J270" s="198" t="str">
        <f>IF(F270="","Belum Terisi",IF(AND(F264="Tidak Ada",F270&lt;&gt;"Tidak Ada"),"CEK",IF(AND(F264="Ada",F270="Tidak Ada"),"CEK","")))</f>
        <v/>
      </c>
      <c r="K270" s="31" t="str">
        <f>IF(J270="CEK",F264&amp;" Wisata Pemandian Umum","")</f>
        <v/>
      </c>
      <c r="L270" s="43"/>
      <c r="M270" s="21"/>
      <c r="N270" s="21"/>
      <c r="O270" s="21"/>
      <c r="P270" s="21"/>
      <c r="Q270" s="21"/>
      <c r="R270" s="21"/>
      <c r="S270" s="21"/>
      <c r="T270" s="21"/>
      <c r="U270" s="21"/>
      <c r="V270" s="21"/>
    </row>
    <row r="271" spans="1:22" s="2" customFormat="1" ht="30" customHeight="1" x14ac:dyDescent="0.25">
      <c r="A271" s="542"/>
      <c r="B271" s="242" t="s">
        <v>254</v>
      </c>
      <c r="C271" s="342" t="s">
        <v>662</v>
      </c>
      <c r="D271" s="100">
        <f t="shared" si="20"/>
        <v>716</v>
      </c>
      <c r="E271" s="427" t="s">
        <v>171</v>
      </c>
      <c r="F271" s="694" t="s">
        <v>263</v>
      </c>
      <c r="G271" s="924"/>
      <c r="H271" s="922"/>
      <c r="I271" s="923"/>
      <c r="J271" s="198" t="str">
        <f>IF(F271="","Belum Terisi",IF(AND(F264="Tidak Ada",F271&lt;&gt;"Tidak Ada"),"CEK",IF(AND(F264="Ada",F271="Tidak Ada"),"CEK",IF(AND(F264="Ada",F269="&lt;500 meter",OR(F271="500-1.000 meter",F271="1.000-1.500 meter",F271="&gt;1.500 meter")),"CEK",""))))</f>
        <v/>
      </c>
      <c r="K271" s="31" t="str">
        <f>IF(AND(J271="CEK",F264="Tidak Ada"),F264&amp;" Wisata Kolam Pemandian Umum",IF(AND(J271="CEK",F269="&lt;500 meter",OR(F271="500-1.000 meter",F271="1.000-1.500 meter",F271="&gt;1.500 meter")),"Panjang Jalan Rusak Melebihi Jarak Menuju Objek Wisata Kolam Pemandian Umum",""))</f>
        <v/>
      </c>
      <c r="L271" s="43"/>
      <c r="M271" s="21"/>
      <c r="N271" s="21"/>
      <c r="O271" s="21"/>
      <c r="P271" s="21"/>
      <c r="Q271" s="21"/>
      <c r="R271" s="21"/>
      <c r="S271" s="21"/>
      <c r="T271" s="21"/>
      <c r="U271" s="21"/>
      <c r="V271" s="21"/>
    </row>
    <row r="272" spans="1:22" s="2" customFormat="1" ht="30" customHeight="1" x14ac:dyDescent="0.25">
      <c r="A272" s="541"/>
      <c r="B272" s="242" t="s">
        <v>256</v>
      </c>
      <c r="C272" s="342" t="s">
        <v>661</v>
      </c>
      <c r="D272" s="100">
        <f t="shared" si="20"/>
        <v>717</v>
      </c>
      <c r="E272" s="427" t="s">
        <v>171</v>
      </c>
      <c r="F272" s="697" t="s">
        <v>263</v>
      </c>
      <c r="G272" s="924"/>
      <c r="H272" s="922"/>
      <c r="I272" s="923"/>
      <c r="J272" s="198" t="str">
        <f>IF(F272="","Belum Terisi",IF(AND(F264="tidak Ada",F272&lt;&gt;"Tidak Ada"),"CEK",""))</f>
        <v/>
      </c>
      <c r="K272" s="31"/>
      <c r="L272" s="43"/>
      <c r="M272" s="21"/>
      <c r="N272" s="21"/>
      <c r="O272" s="21"/>
      <c r="P272" s="21"/>
      <c r="Q272" s="21"/>
      <c r="R272" s="21"/>
      <c r="S272" s="21"/>
      <c r="T272" s="21"/>
      <c r="U272" s="21"/>
      <c r="V272" s="21"/>
    </row>
    <row r="273" spans="1:22" s="2" customFormat="1" ht="30" customHeight="1" x14ac:dyDescent="0.25">
      <c r="A273" s="648">
        <f>A264+1</f>
        <v>57</v>
      </c>
      <c r="B273" s="359"/>
      <c r="C273" s="360" t="s">
        <v>1127</v>
      </c>
      <c r="D273" s="100">
        <f t="shared" si="20"/>
        <v>718</v>
      </c>
      <c r="E273" s="427" t="s">
        <v>171</v>
      </c>
      <c r="F273" s="693" t="s">
        <v>263</v>
      </c>
      <c r="G273" s="924"/>
      <c r="H273" s="922"/>
      <c r="I273" s="923"/>
      <c r="J273" s="198" t="str">
        <f>IF(LEN(F273)&gt;0,"","Belum Terisi")</f>
        <v/>
      </c>
      <c r="K273" s="31"/>
      <c r="L273" s="43"/>
      <c r="M273" s="21"/>
      <c r="N273" s="21"/>
      <c r="O273" s="21"/>
      <c r="P273" s="21"/>
      <c r="Q273" s="21"/>
      <c r="R273" s="21"/>
      <c r="S273" s="21"/>
      <c r="T273" s="21"/>
      <c r="U273" s="21"/>
      <c r="V273" s="21"/>
    </row>
    <row r="274" spans="1:22" s="2" customFormat="1" ht="40.15" customHeight="1" x14ac:dyDescent="0.25">
      <c r="A274" s="542"/>
      <c r="B274" s="242" t="s">
        <v>41</v>
      </c>
      <c r="C274" s="361" t="s">
        <v>789</v>
      </c>
      <c r="D274" s="100">
        <f t="shared" si="20"/>
        <v>719</v>
      </c>
      <c r="E274" s="504" t="s">
        <v>174</v>
      </c>
      <c r="F274" s="767" t="s">
        <v>240</v>
      </c>
      <c r="G274" s="924"/>
      <c r="H274" s="922"/>
      <c r="I274" s="923"/>
      <c r="J274" s="198" t="str">
        <f>IF(F274="","Belum Terisi",IF(AND(F273="Tidak Ada",F274&lt;&gt;"-"),"CEK",IF(AND(F273="Ada",F274="-"),"CEK","")))</f>
        <v/>
      </c>
      <c r="K274" s="31" t="str">
        <f>IF(J274="CEK",F273&amp;" Wisata Taman","")</f>
        <v/>
      </c>
      <c r="L274" s="43"/>
      <c r="M274" s="21"/>
      <c r="N274" s="21"/>
      <c r="O274" s="21"/>
      <c r="P274" s="21"/>
      <c r="Q274" s="21"/>
      <c r="R274" s="21"/>
      <c r="S274" s="21"/>
      <c r="T274" s="21"/>
      <c r="U274" s="21"/>
      <c r="V274" s="21"/>
    </row>
    <row r="275" spans="1:22" s="2" customFormat="1" ht="40.15" customHeight="1" x14ac:dyDescent="0.25">
      <c r="A275" s="542"/>
      <c r="B275" s="242" t="s">
        <v>139</v>
      </c>
      <c r="C275" s="342" t="s">
        <v>1143</v>
      </c>
      <c r="D275" s="100">
        <f t="shared" si="20"/>
        <v>720</v>
      </c>
      <c r="E275" s="427" t="s">
        <v>174</v>
      </c>
      <c r="F275" s="767" t="s">
        <v>240</v>
      </c>
      <c r="G275" s="924"/>
      <c r="H275" s="922"/>
      <c r="I275" s="923"/>
      <c r="J275" s="198" t="str">
        <f>IF(F275="","Belum Terisi",IF(AND(F273="Tidak Ada",F275&lt;&gt;"-"),"CEK",IF(AND(F273="Ada",F275="-"),"CEK","")))</f>
        <v/>
      </c>
      <c r="K275" s="31" t="str">
        <f>IF(J275="CEK",F273&amp;" Wisata Taman","")</f>
        <v/>
      </c>
      <c r="L275" s="43"/>
      <c r="M275" s="21"/>
      <c r="N275" s="21"/>
      <c r="O275" s="21"/>
      <c r="P275" s="21"/>
      <c r="Q275" s="21"/>
      <c r="R275" s="21"/>
      <c r="S275" s="21"/>
      <c r="T275" s="21"/>
      <c r="U275" s="21"/>
      <c r="V275" s="21"/>
    </row>
    <row r="276" spans="1:22" s="2" customFormat="1" ht="40.15" customHeight="1" x14ac:dyDescent="0.25">
      <c r="A276" s="542"/>
      <c r="B276" s="242" t="s">
        <v>251</v>
      </c>
      <c r="C276" s="362" t="s">
        <v>790</v>
      </c>
      <c r="D276" s="100">
        <f t="shared" si="20"/>
        <v>721</v>
      </c>
      <c r="E276" s="463" t="s">
        <v>174</v>
      </c>
      <c r="F276" s="767" t="s">
        <v>240</v>
      </c>
      <c r="G276" s="924"/>
      <c r="H276" s="922"/>
      <c r="I276" s="923"/>
      <c r="J276" s="198" t="str">
        <f>IF(F276="","Belum Terisi",IF(AND(F273="Tidak Ada",F276&lt;&gt;"-"),"CEK",IF(AND(F273="Ada",F276="-"),"CEK","")))</f>
        <v/>
      </c>
      <c r="K276" s="31" t="str">
        <f>IF(J276="CEK",F273&amp;" Wisata Taman","")</f>
        <v/>
      </c>
      <c r="L276" s="43"/>
      <c r="M276" s="21"/>
      <c r="N276" s="21"/>
      <c r="O276" s="21"/>
      <c r="P276" s="21"/>
      <c r="Q276" s="21"/>
      <c r="R276" s="21"/>
      <c r="S276" s="21"/>
      <c r="T276" s="21"/>
      <c r="U276" s="21"/>
      <c r="V276" s="21"/>
    </row>
    <row r="277" spans="1:22" s="2" customFormat="1" ht="30" customHeight="1" x14ac:dyDescent="0.25">
      <c r="A277" s="542"/>
      <c r="B277" s="242" t="s">
        <v>255</v>
      </c>
      <c r="C277" s="342" t="s">
        <v>1159</v>
      </c>
      <c r="D277" s="100">
        <f t="shared" si="20"/>
        <v>722</v>
      </c>
      <c r="E277" s="427" t="s">
        <v>171</v>
      </c>
      <c r="F277" s="694" t="s">
        <v>263</v>
      </c>
      <c r="G277" s="924"/>
      <c r="H277" s="922"/>
      <c r="I277" s="923"/>
      <c r="J277" s="198" t="str">
        <f>IF(F277="","Belum Terisi",IF(AND(F273="Tidak Ada",F277&lt;&gt;"Tidak Ada"),"CEK",IF(AND(F273="Ada",F277="Tidak Ada"),"CEK","")))</f>
        <v/>
      </c>
      <c r="K277" s="31" t="str">
        <f>IF(J277="CEK",F273&amp;" Wisata Taman","")</f>
        <v/>
      </c>
      <c r="L277" s="43"/>
      <c r="M277" s="21"/>
      <c r="N277" s="21"/>
      <c r="O277" s="21"/>
      <c r="P277" s="21"/>
      <c r="Q277" s="21"/>
      <c r="R277" s="21"/>
      <c r="S277" s="21"/>
      <c r="T277" s="21"/>
      <c r="U277" s="21"/>
      <c r="V277" s="21"/>
    </row>
    <row r="278" spans="1:22" s="2" customFormat="1" ht="30" customHeight="1" x14ac:dyDescent="0.25">
      <c r="A278" s="542"/>
      <c r="B278" s="242" t="s">
        <v>252</v>
      </c>
      <c r="C278" s="342" t="s">
        <v>663</v>
      </c>
      <c r="D278" s="100">
        <f t="shared" si="20"/>
        <v>723</v>
      </c>
      <c r="E278" s="427" t="s">
        <v>171</v>
      </c>
      <c r="F278" s="694" t="s">
        <v>263</v>
      </c>
      <c r="G278" s="924"/>
      <c r="H278" s="922"/>
      <c r="I278" s="923"/>
      <c r="J278" s="198" t="str">
        <f>IF(F278="","Belum Terisi",IF(AND(F273="Tidak Ada",F278&lt;&gt;"Tidak Ada"),"CEK",IF(AND(F273="Ada",F278="Tidak Ada"),"CEK","")))</f>
        <v/>
      </c>
      <c r="K278" s="31" t="str">
        <f>IF(J278="CEK",F273&amp;" Wisata Taman","")</f>
        <v/>
      </c>
      <c r="L278" s="43"/>
      <c r="M278" s="21"/>
      <c r="N278" s="21"/>
      <c r="O278" s="21"/>
      <c r="P278" s="21"/>
      <c r="Q278" s="21"/>
      <c r="R278" s="21"/>
      <c r="S278" s="21"/>
      <c r="T278" s="21"/>
      <c r="U278" s="21"/>
      <c r="V278" s="21"/>
    </row>
    <row r="279" spans="1:22" s="2" customFormat="1" ht="40.15" customHeight="1" x14ac:dyDescent="0.25">
      <c r="A279" s="542"/>
      <c r="B279" s="242" t="s">
        <v>253</v>
      </c>
      <c r="C279" s="342" t="s">
        <v>807</v>
      </c>
      <c r="D279" s="100">
        <f t="shared" si="20"/>
        <v>724</v>
      </c>
      <c r="E279" s="427" t="s">
        <v>171</v>
      </c>
      <c r="F279" s="694" t="s">
        <v>263</v>
      </c>
      <c r="G279" s="924"/>
      <c r="H279" s="922"/>
      <c r="I279" s="923"/>
      <c r="J279" s="198" t="str">
        <f>IF(F279="","Belum Terisi",IF(AND(F273="Tidak Ada",F279&lt;&gt;"Tidak Ada"),"CEK",IF(AND(F273="Ada",F279="Tidak Ada"),"CEK","")))</f>
        <v/>
      </c>
      <c r="K279" s="31" t="str">
        <f>IF(J279="CEK",F273&amp;" Wisata Taman","")</f>
        <v/>
      </c>
      <c r="L279" s="43"/>
      <c r="M279" s="21"/>
      <c r="N279" s="21"/>
      <c r="O279" s="21"/>
      <c r="P279" s="21"/>
      <c r="Q279" s="21"/>
      <c r="R279" s="21"/>
      <c r="S279" s="21"/>
      <c r="T279" s="21"/>
      <c r="U279" s="21"/>
      <c r="V279" s="21"/>
    </row>
    <row r="280" spans="1:22" s="2" customFormat="1" ht="30" customHeight="1" x14ac:dyDescent="0.25">
      <c r="A280" s="542"/>
      <c r="B280" s="242" t="s">
        <v>254</v>
      </c>
      <c r="C280" s="342" t="s">
        <v>662</v>
      </c>
      <c r="D280" s="100">
        <f t="shared" si="20"/>
        <v>725</v>
      </c>
      <c r="E280" s="427" t="s">
        <v>171</v>
      </c>
      <c r="F280" s="694" t="s">
        <v>263</v>
      </c>
      <c r="G280" s="924"/>
      <c r="H280" s="922"/>
      <c r="I280" s="923"/>
      <c r="J280" s="198" t="str">
        <f>IF(F280="","Belum Terisi",IF(AND(F273="Tidak Ada",F280&lt;&gt;"Tidak Ada"),"CEK",IF(AND(F273="Ada",F280="Tidak Ada"),"CEK",IF(AND(F273="Ada",F278="&lt;500 meter",OR(F280="500-1.000 meter",F280="1.000-1.500 meter",F280="&gt;1.500 meter")),"CEK",""))))</f>
        <v/>
      </c>
      <c r="K280" s="31" t="str">
        <f>IF(AND(J280="CEK",F273="Tidak Ada"),F273&amp;" Wisata Taman",IF(AND(J280="CEK",F278="&lt;500 meter",OR(F280="500-1.000 meter",F280="1.000-1.500 meter",F280="&gt;1.500 meter")),"Panjang Jalan Rusak Melebihi Jarak Menuju Objek Wisata Taman",""))</f>
        <v/>
      </c>
      <c r="L280" s="43"/>
      <c r="M280" s="21"/>
      <c r="N280" s="21"/>
      <c r="O280" s="21"/>
      <c r="P280" s="21"/>
      <c r="Q280" s="21"/>
      <c r="R280" s="21"/>
      <c r="S280" s="21"/>
      <c r="T280" s="21"/>
      <c r="U280" s="21"/>
      <c r="V280" s="21"/>
    </row>
    <row r="281" spans="1:22" s="2" customFormat="1" ht="30" customHeight="1" x14ac:dyDescent="0.25">
      <c r="A281" s="541"/>
      <c r="B281" s="242" t="s">
        <v>256</v>
      </c>
      <c r="C281" s="342" t="s">
        <v>661</v>
      </c>
      <c r="D281" s="100">
        <f t="shared" si="20"/>
        <v>726</v>
      </c>
      <c r="E281" s="427" t="s">
        <v>171</v>
      </c>
      <c r="F281" s="697" t="s">
        <v>263</v>
      </c>
      <c r="G281" s="924"/>
      <c r="H281" s="922"/>
      <c r="I281" s="923"/>
      <c r="J281" s="198" t="str">
        <f>IF(F281="","Belum Terisi",IF(AND(F273="tidak Ada",F281&lt;&gt;"Tidak Ada"),"CEK",""))</f>
        <v/>
      </c>
      <c r="K281" s="31"/>
      <c r="L281" s="43"/>
      <c r="M281" s="21"/>
      <c r="N281" s="21"/>
      <c r="O281" s="21"/>
      <c r="P281" s="21"/>
      <c r="Q281" s="21"/>
      <c r="R281" s="21"/>
      <c r="S281" s="21"/>
      <c r="T281" s="21"/>
      <c r="U281" s="21"/>
      <c r="V281" s="21"/>
    </row>
    <row r="282" spans="1:22" s="2" customFormat="1" ht="30" customHeight="1" x14ac:dyDescent="0.25">
      <c r="A282" s="648">
        <f>A273+1</f>
        <v>58</v>
      </c>
      <c r="B282" s="359"/>
      <c r="C282" s="360" t="s">
        <v>1128</v>
      </c>
      <c r="D282" s="100">
        <f t="shared" si="20"/>
        <v>727</v>
      </c>
      <c r="E282" s="427" t="s">
        <v>171</v>
      </c>
      <c r="F282" s="693" t="s">
        <v>263</v>
      </c>
      <c r="G282" s="924"/>
      <c r="H282" s="922"/>
      <c r="I282" s="923"/>
      <c r="J282" s="198" t="str">
        <f>IF(LEN(F282)&gt;0,"","Belum Terisi")</f>
        <v/>
      </c>
      <c r="K282" s="31"/>
      <c r="L282" s="31"/>
      <c r="M282" s="21"/>
      <c r="N282" s="21"/>
      <c r="O282" s="21"/>
      <c r="P282" s="21"/>
      <c r="Q282" s="21"/>
      <c r="R282" s="21"/>
      <c r="S282" s="21"/>
      <c r="T282" s="21"/>
      <c r="U282" s="21"/>
      <c r="V282" s="21"/>
    </row>
    <row r="283" spans="1:22" s="26" customFormat="1" ht="30" customHeight="1" x14ac:dyDescent="0.25">
      <c r="A283" s="542"/>
      <c r="B283" s="242" t="s">
        <v>41</v>
      </c>
      <c r="C283" s="342" t="s">
        <v>1144</v>
      </c>
      <c r="D283" s="100">
        <f t="shared" si="20"/>
        <v>728</v>
      </c>
      <c r="E283" s="504" t="s">
        <v>174</v>
      </c>
      <c r="F283" s="767" t="s">
        <v>240</v>
      </c>
      <c r="G283" s="924"/>
      <c r="H283" s="922"/>
      <c r="I283" s="923"/>
      <c r="J283" s="198" t="str">
        <f>IF(F283="","Belum Terisi",IF(AND(F282="Tidak Ada",F283&lt;&gt;"-"),"CEK",IF(AND(F282="Ada",F283="-"),"CEK","")))</f>
        <v/>
      </c>
      <c r="K283" s="31" t="str">
        <f>IF(J283="CEK",F282&amp;" Wisata Buatan Lainnya","")</f>
        <v/>
      </c>
      <c r="L283" s="43"/>
      <c r="M283" s="847"/>
      <c r="N283" s="847"/>
      <c r="O283" s="847"/>
      <c r="P283" s="847"/>
      <c r="Q283" s="847"/>
      <c r="R283" s="847"/>
      <c r="S283" s="847"/>
      <c r="T283" s="847"/>
      <c r="U283" s="847"/>
      <c r="V283" s="847"/>
    </row>
    <row r="284" spans="1:22" s="2" customFormat="1" ht="30" customHeight="1" x14ac:dyDescent="0.25">
      <c r="A284" s="542"/>
      <c r="B284" s="242" t="s">
        <v>139</v>
      </c>
      <c r="C284" s="342" t="s">
        <v>1160</v>
      </c>
      <c r="D284" s="100">
        <f t="shared" si="20"/>
        <v>729</v>
      </c>
      <c r="E284" s="427" t="s">
        <v>174</v>
      </c>
      <c r="F284" s="767" t="s">
        <v>240</v>
      </c>
      <c r="G284" s="924"/>
      <c r="H284" s="922"/>
      <c r="I284" s="923"/>
      <c r="J284" s="198" t="str">
        <f>IF(F284="","Belum Terisi",IF(AND(F282="Tidak Ada",F284&lt;&gt;"-"),"CEK",IF(AND(F282="Ada",F284="-"),"CEK","")))</f>
        <v/>
      </c>
      <c r="K284" s="31" t="str">
        <f>IF(J284="CEK",F282&amp;" Wisata Buatan Lainnya","")</f>
        <v/>
      </c>
      <c r="L284" s="43"/>
      <c r="M284" s="21"/>
      <c r="N284" s="21"/>
      <c r="O284" s="21"/>
      <c r="P284" s="21"/>
      <c r="Q284" s="21"/>
      <c r="R284" s="21"/>
      <c r="S284" s="21"/>
      <c r="T284" s="21"/>
      <c r="U284" s="21"/>
      <c r="V284" s="21"/>
    </row>
    <row r="285" spans="1:22" s="2" customFormat="1" ht="30" customHeight="1" x14ac:dyDescent="0.25">
      <c r="A285" s="542"/>
      <c r="B285" s="242" t="s">
        <v>251</v>
      </c>
      <c r="C285" s="362" t="s">
        <v>790</v>
      </c>
      <c r="D285" s="100">
        <f t="shared" si="20"/>
        <v>730</v>
      </c>
      <c r="E285" s="463" t="s">
        <v>174</v>
      </c>
      <c r="F285" s="767" t="s">
        <v>240</v>
      </c>
      <c r="G285" s="924"/>
      <c r="H285" s="922"/>
      <c r="I285" s="923"/>
      <c r="J285" s="198" t="str">
        <f>IF(F285="","Belum Terisi",IF(AND(F282="Tidak Ada",F285&lt;&gt;"-"),"CEK",IF(AND(F282="Ada",F285="-"),"CEK","")))</f>
        <v/>
      </c>
      <c r="K285" s="31" t="str">
        <f>IF(J285="CEK",F282&amp;" Wisata Buatan Lainnya","")</f>
        <v/>
      </c>
      <c r="L285" s="43"/>
      <c r="M285" s="21"/>
      <c r="N285" s="21"/>
      <c r="O285" s="21"/>
      <c r="P285" s="21"/>
      <c r="Q285" s="21"/>
      <c r="R285" s="21"/>
      <c r="S285" s="21"/>
      <c r="T285" s="21"/>
      <c r="U285" s="21"/>
      <c r="V285" s="21"/>
    </row>
    <row r="286" spans="1:22" s="2" customFormat="1" ht="30" customHeight="1" x14ac:dyDescent="0.25">
      <c r="A286" s="542"/>
      <c r="B286" s="242" t="s">
        <v>255</v>
      </c>
      <c r="C286" s="342" t="s">
        <v>1159</v>
      </c>
      <c r="D286" s="100">
        <f t="shared" si="20"/>
        <v>731</v>
      </c>
      <c r="E286" s="427" t="s">
        <v>171</v>
      </c>
      <c r="F286" s="694" t="s">
        <v>263</v>
      </c>
      <c r="G286" s="924"/>
      <c r="H286" s="922"/>
      <c r="I286" s="923"/>
      <c r="J286" s="198" t="str">
        <f>IF(F286="","Belum Terisi",IF(AND(F282="Tidak Ada",F286&lt;&gt;"Tidak Ada"),"CEK",IF(AND(F282="Ada",F286="Tidak Ada"),"CEK","")))</f>
        <v/>
      </c>
      <c r="K286" s="31" t="str">
        <f>IF(J286="CEK",F282&amp;" Wisata Buatan Lainnya","")</f>
        <v/>
      </c>
      <c r="L286" s="43"/>
      <c r="M286" s="21"/>
      <c r="N286" s="21"/>
      <c r="O286" s="21"/>
      <c r="P286" s="21"/>
      <c r="Q286" s="21"/>
      <c r="R286" s="21"/>
      <c r="S286" s="21"/>
      <c r="T286" s="21"/>
      <c r="U286" s="21"/>
      <c r="V286" s="21"/>
    </row>
    <row r="287" spans="1:22" s="2" customFormat="1" ht="30" customHeight="1" x14ac:dyDescent="0.25">
      <c r="A287" s="542"/>
      <c r="B287" s="242" t="s">
        <v>252</v>
      </c>
      <c r="C287" s="342" t="s">
        <v>663</v>
      </c>
      <c r="D287" s="100">
        <f t="shared" si="20"/>
        <v>732</v>
      </c>
      <c r="E287" s="427" t="s">
        <v>171</v>
      </c>
      <c r="F287" s="694" t="s">
        <v>263</v>
      </c>
      <c r="G287" s="924"/>
      <c r="H287" s="922"/>
      <c r="I287" s="923"/>
      <c r="J287" s="198" t="str">
        <f>IF(F287="","Belum Terisi",IF(AND(F282="Tidak Ada",F287&lt;&gt;"Tidak Ada"),"CEK",IF(AND(F282="Ada",F287="Tidak Ada"),"CEK","")))</f>
        <v/>
      </c>
      <c r="K287" s="31" t="str">
        <f>IF(J287="CEK",F282&amp;" Wisata Buatan Lainnya","")</f>
        <v/>
      </c>
      <c r="L287" s="43"/>
      <c r="M287" s="21"/>
      <c r="N287" s="21"/>
      <c r="O287" s="21"/>
      <c r="P287" s="21"/>
      <c r="Q287" s="21"/>
      <c r="R287" s="21"/>
      <c r="S287" s="21"/>
      <c r="T287" s="21"/>
      <c r="U287" s="21"/>
      <c r="V287" s="21"/>
    </row>
    <row r="288" spans="1:22" s="2" customFormat="1" ht="40.15" customHeight="1" x14ac:dyDescent="0.25">
      <c r="A288" s="542"/>
      <c r="B288" s="242" t="s">
        <v>253</v>
      </c>
      <c r="C288" s="342" t="s">
        <v>807</v>
      </c>
      <c r="D288" s="100">
        <f t="shared" si="20"/>
        <v>733</v>
      </c>
      <c r="E288" s="427" t="s">
        <v>171</v>
      </c>
      <c r="F288" s="694" t="s">
        <v>263</v>
      </c>
      <c r="G288" s="924"/>
      <c r="H288" s="922"/>
      <c r="I288" s="923"/>
      <c r="J288" s="198" t="str">
        <f>IF(F288="","Belum Terisi",IF(AND(F282="Tidak Ada",F288&lt;&gt;"Tidak Ada"),"CEK",IF(AND(F282="Ada",F288="Tidak Ada"),"CEK","")))</f>
        <v/>
      </c>
      <c r="K288" s="31" t="str">
        <f>IF(J288="CEK",F282&amp;" Wisata Buatan Lainnya","")</f>
        <v/>
      </c>
      <c r="L288" s="43"/>
      <c r="M288" s="21"/>
      <c r="N288" s="21"/>
      <c r="O288" s="21"/>
      <c r="P288" s="21"/>
      <c r="Q288" s="21"/>
      <c r="R288" s="21"/>
      <c r="S288" s="21"/>
      <c r="T288" s="21"/>
      <c r="U288" s="21"/>
      <c r="V288" s="21"/>
    </row>
    <row r="289" spans="1:22" s="2" customFormat="1" ht="30" customHeight="1" x14ac:dyDescent="0.25">
      <c r="A289" s="542"/>
      <c r="B289" s="242" t="s">
        <v>254</v>
      </c>
      <c r="C289" s="342" t="s">
        <v>662</v>
      </c>
      <c r="D289" s="100">
        <f t="shared" si="20"/>
        <v>734</v>
      </c>
      <c r="E289" s="427" t="s">
        <v>171</v>
      </c>
      <c r="F289" s="694" t="s">
        <v>263</v>
      </c>
      <c r="G289" s="924"/>
      <c r="H289" s="922"/>
      <c r="I289" s="923"/>
      <c r="J289" s="198" t="str">
        <f>IF(F289="","Belum Terisi",IF(AND(F282="Tidak Ada",F289&lt;&gt;"Tidak Ada"),"CEK",IF(AND(F282="Ada",F289="Tidak Ada"),"CEK",IF(AND(F282="Ada",F287="&lt;500 meter",OR(F289="500-1.000 meter",F289="1.000-1.500 meter",F289="&gt;1.500 meter")),"CEK",""))))</f>
        <v/>
      </c>
      <c r="K289" s="31" t="str">
        <f>IF(AND(J289="CEK",F282="Tidak Ada"),F282&amp;" Wisata Buatan Lainnya",IF(AND(J289="CEK",F287="&lt;500 meter",OR(F289="500-1.000 meter",F289="1.000-1.500 meter",F289="&gt;1.500 meter")),"Panjang Jalan Rusak Melebihi Jarak Menuju Objek Wisata Buatan Lainnya",""))</f>
        <v/>
      </c>
      <c r="L289" s="43"/>
      <c r="M289" s="21"/>
      <c r="N289" s="21"/>
      <c r="O289" s="21"/>
      <c r="P289" s="21"/>
      <c r="Q289" s="21"/>
      <c r="R289" s="21"/>
      <c r="S289" s="21"/>
      <c r="T289" s="21"/>
      <c r="U289" s="21"/>
      <c r="V289" s="21"/>
    </row>
    <row r="290" spans="1:22" s="2" customFormat="1" ht="30" customHeight="1" x14ac:dyDescent="0.25">
      <c r="A290" s="541"/>
      <c r="B290" s="242" t="s">
        <v>256</v>
      </c>
      <c r="C290" s="342" t="s">
        <v>661</v>
      </c>
      <c r="D290" s="100">
        <f t="shared" si="20"/>
        <v>735</v>
      </c>
      <c r="E290" s="427" t="s">
        <v>171</v>
      </c>
      <c r="F290" s="697" t="s">
        <v>263</v>
      </c>
      <c r="G290" s="924"/>
      <c r="H290" s="922"/>
      <c r="I290" s="923"/>
      <c r="J290" s="198" t="str">
        <f>IF(F290="","Belum Terisi",IF(AND(F282="tidak Ada",F290&lt;&gt;"Tidak Ada"),"CEK",""))</f>
        <v/>
      </c>
      <c r="K290" s="31"/>
      <c r="L290" s="43"/>
      <c r="M290" s="21"/>
      <c r="N290" s="21"/>
      <c r="O290" s="21"/>
      <c r="P290" s="21"/>
      <c r="Q290" s="21"/>
      <c r="R290" s="21"/>
      <c r="S290" s="21"/>
      <c r="T290" s="21"/>
      <c r="U290" s="21"/>
      <c r="V290" s="21"/>
    </row>
    <row r="291" spans="1:22" s="2" customFormat="1" ht="30" customHeight="1" x14ac:dyDescent="0.25">
      <c r="A291" s="559" t="s">
        <v>233</v>
      </c>
      <c r="B291" s="357"/>
      <c r="C291" s="356"/>
      <c r="D291" s="429"/>
      <c r="E291" s="429"/>
      <c r="F291" s="714"/>
      <c r="G291" s="924"/>
      <c r="H291" s="922"/>
      <c r="I291" s="923"/>
      <c r="J291" s="98"/>
      <c r="K291" s="31"/>
      <c r="L291" s="31"/>
      <c r="M291" s="21"/>
      <c r="N291" s="21"/>
      <c r="O291" s="21"/>
      <c r="P291" s="21"/>
      <c r="Q291" s="21"/>
      <c r="R291" s="21"/>
      <c r="S291" s="21"/>
      <c r="T291" s="21"/>
      <c r="U291" s="21"/>
      <c r="V291" s="21"/>
    </row>
    <row r="292" spans="1:22" s="2" customFormat="1" ht="30" customHeight="1" x14ac:dyDescent="0.25">
      <c r="A292" s="648">
        <f>A282+1</f>
        <v>59</v>
      </c>
      <c r="B292" s="359"/>
      <c r="C292" s="360" t="s">
        <v>1129</v>
      </c>
      <c r="D292" s="100">
        <f>D290+1</f>
        <v>736</v>
      </c>
      <c r="E292" s="427" t="s">
        <v>171</v>
      </c>
      <c r="F292" s="693" t="s">
        <v>263</v>
      </c>
      <c r="G292" s="924"/>
      <c r="H292" s="922"/>
      <c r="I292" s="923"/>
      <c r="J292" s="198" t="str">
        <f>IF(LEN(F292)&gt;0,"","Belum Terisi")</f>
        <v/>
      </c>
      <c r="K292" s="31"/>
      <c r="L292" s="43"/>
      <c r="M292" s="21"/>
      <c r="N292" s="847" t="s">
        <v>668</v>
      </c>
      <c r="O292" s="21"/>
      <c r="P292" s="21"/>
      <c r="Q292" s="21"/>
      <c r="R292" s="21"/>
      <c r="S292" s="21"/>
      <c r="T292" s="21"/>
      <c r="U292" s="21"/>
      <c r="V292" s="21"/>
    </row>
    <row r="293" spans="1:22" s="2" customFormat="1" ht="30" customHeight="1" x14ac:dyDescent="0.25">
      <c r="A293" s="542"/>
      <c r="B293" s="242" t="s">
        <v>41</v>
      </c>
      <c r="C293" s="361" t="s">
        <v>789</v>
      </c>
      <c r="D293" s="100">
        <f t="shared" ref="D293:D336" si="21">D292+1</f>
        <v>737</v>
      </c>
      <c r="E293" s="504" t="s">
        <v>174</v>
      </c>
      <c r="F293" s="767" t="s">
        <v>240</v>
      </c>
      <c r="G293" s="924"/>
      <c r="H293" s="922"/>
      <c r="I293" s="923"/>
      <c r="J293" s="198" t="str">
        <f>IF(F293="","Belum Terisi",IF(AND(F292="Tidak Ada",F293&lt;&gt;"-"),"CEK",IF(AND(F292="Ada",F293="-"),"CEK","")))</f>
        <v/>
      </c>
      <c r="K293" s="31" t="str">
        <f>IF(J293="CEK",F292&amp;" Wisata Budaya","")</f>
        <v/>
      </c>
      <c r="L293" s="43"/>
      <c r="M293" s="21"/>
      <c r="N293" s="21"/>
      <c r="O293" s="21"/>
      <c r="P293" s="21"/>
      <c r="Q293" s="21"/>
      <c r="R293" s="21"/>
      <c r="S293" s="21"/>
      <c r="T293" s="21"/>
      <c r="U293" s="21"/>
      <c r="V293" s="21"/>
    </row>
    <row r="294" spans="1:22" s="2" customFormat="1" ht="30" customHeight="1" x14ac:dyDescent="0.25">
      <c r="A294" s="542"/>
      <c r="B294" s="242" t="s">
        <v>139</v>
      </c>
      <c r="C294" s="342" t="s">
        <v>1145</v>
      </c>
      <c r="D294" s="100">
        <f t="shared" si="21"/>
        <v>738</v>
      </c>
      <c r="E294" s="427" t="s">
        <v>174</v>
      </c>
      <c r="F294" s="767" t="s">
        <v>240</v>
      </c>
      <c r="G294" s="924"/>
      <c r="H294" s="922"/>
      <c r="I294" s="923"/>
      <c r="J294" s="198" t="str">
        <f>IF(F294="","Belum Terisi",IF(AND(F292="Tidak Ada",F294&lt;&gt;"-"),"CEK",IF(AND(F292="Ada",F294="-"),"CEK","")))</f>
        <v/>
      </c>
      <c r="K294" s="31" t="str">
        <f>IF(J294="CEK",F292&amp;" Wisata Budaya","")</f>
        <v/>
      </c>
      <c r="L294" s="43"/>
      <c r="M294" s="21"/>
      <c r="N294" s="847" t="s">
        <v>668</v>
      </c>
      <c r="O294" s="21"/>
      <c r="P294" s="21"/>
      <c r="Q294" s="21"/>
      <c r="R294" s="21"/>
      <c r="S294" s="21"/>
      <c r="T294" s="21"/>
      <c r="U294" s="21"/>
      <c r="V294" s="21"/>
    </row>
    <row r="295" spans="1:22" s="2" customFormat="1" ht="30" customHeight="1" x14ac:dyDescent="0.25">
      <c r="A295" s="542"/>
      <c r="B295" s="242" t="s">
        <v>251</v>
      </c>
      <c r="C295" s="362" t="s">
        <v>790</v>
      </c>
      <c r="D295" s="100">
        <f t="shared" si="21"/>
        <v>739</v>
      </c>
      <c r="E295" s="463" t="s">
        <v>174</v>
      </c>
      <c r="F295" s="767" t="s">
        <v>240</v>
      </c>
      <c r="G295" s="924"/>
      <c r="H295" s="922"/>
      <c r="I295" s="923"/>
      <c r="J295" s="198" t="str">
        <f>IF(F295="","Belum Terisi",IF(AND(F292="Tidak Ada",F295&lt;&gt;"-"),"CEK",IF(AND(F292="Ada",F295="-"),"CEK","")))</f>
        <v/>
      </c>
      <c r="K295" s="31" t="str">
        <f>IF(J295="CEK",F292&amp;" Wisata Budaya","")</f>
        <v/>
      </c>
      <c r="L295" s="43"/>
      <c r="M295" s="21"/>
      <c r="N295" s="21"/>
      <c r="O295" s="21"/>
      <c r="P295" s="21"/>
      <c r="Q295" s="21"/>
      <c r="R295" s="21"/>
      <c r="S295" s="21"/>
      <c r="T295" s="21"/>
      <c r="U295" s="21"/>
      <c r="V295" s="21"/>
    </row>
    <row r="296" spans="1:22" s="2" customFormat="1" ht="30" customHeight="1" x14ac:dyDescent="0.25">
      <c r="A296" s="542"/>
      <c r="B296" s="242" t="s">
        <v>255</v>
      </c>
      <c r="C296" s="342" t="s">
        <v>1161</v>
      </c>
      <c r="D296" s="100">
        <f t="shared" si="21"/>
        <v>740</v>
      </c>
      <c r="E296" s="427" t="s">
        <v>171</v>
      </c>
      <c r="F296" s="694" t="s">
        <v>263</v>
      </c>
      <c r="G296" s="924"/>
      <c r="H296" s="922"/>
      <c r="I296" s="923"/>
      <c r="J296" s="198" t="str">
        <f>IF(F296="","Belum Terisi",IF(AND(F292="Tidak Ada",F296&lt;&gt;"Tidak Ada"),"CEK",IF(AND(F292="Ada",F296="Tidak Ada"),"CEK","")))</f>
        <v/>
      </c>
      <c r="K296" s="31" t="str">
        <f>IF(J296="CEK",F292&amp;" Wisata Budaya","")</f>
        <v/>
      </c>
      <c r="L296" s="43"/>
      <c r="M296" s="21"/>
      <c r="N296" s="21"/>
      <c r="O296" s="21"/>
      <c r="P296" s="21"/>
      <c r="Q296" s="21"/>
      <c r="R296" s="21"/>
      <c r="S296" s="21"/>
      <c r="T296" s="21"/>
      <c r="U296" s="21"/>
      <c r="V296" s="21"/>
    </row>
    <row r="297" spans="1:22" s="2" customFormat="1" ht="30" customHeight="1" x14ac:dyDescent="0.25">
      <c r="A297" s="542"/>
      <c r="B297" s="242" t="s">
        <v>252</v>
      </c>
      <c r="C297" s="342" t="s">
        <v>663</v>
      </c>
      <c r="D297" s="100">
        <f t="shared" si="21"/>
        <v>741</v>
      </c>
      <c r="E297" s="427" t="s">
        <v>171</v>
      </c>
      <c r="F297" s="694" t="s">
        <v>263</v>
      </c>
      <c r="G297" s="924"/>
      <c r="H297" s="922"/>
      <c r="I297" s="923"/>
      <c r="J297" s="198" t="str">
        <f>IF(F297="","Belum Terisi",IF(AND(F292="Tidak Ada",F297&lt;&gt;"Tidak Ada"),"CEK",IF(AND(F292="Ada",F297="Tidak Ada"),"CEK","")))</f>
        <v/>
      </c>
      <c r="K297" s="31" t="str">
        <f>IF(J297="CEK",F292&amp;" Wisata Budaya","")</f>
        <v/>
      </c>
      <c r="L297" s="43"/>
      <c r="M297" s="21"/>
      <c r="N297" s="21"/>
      <c r="O297" s="21"/>
      <c r="P297" s="21"/>
      <c r="Q297" s="21"/>
      <c r="R297" s="21"/>
      <c r="S297" s="21"/>
      <c r="T297" s="21"/>
      <c r="U297" s="21"/>
      <c r="V297" s="21"/>
    </row>
    <row r="298" spans="1:22" s="2" customFormat="1" ht="40.15" customHeight="1" x14ac:dyDescent="0.25">
      <c r="A298" s="542"/>
      <c r="B298" s="242" t="s">
        <v>253</v>
      </c>
      <c r="C298" s="342" t="s">
        <v>807</v>
      </c>
      <c r="D298" s="100">
        <f t="shared" si="21"/>
        <v>742</v>
      </c>
      <c r="E298" s="427" t="s">
        <v>171</v>
      </c>
      <c r="F298" s="694" t="s">
        <v>263</v>
      </c>
      <c r="G298" s="924"/>
      <c r="H298" s="922"/>
      <c r="I298" s="923"/>
      <c r="J298" s="198" t="str">
        <f>IF(F298="","Belum Terisi",IF(AND(F292="Tidak Ada",F298&lt;&gt;"Tidak Ada"),"CEK",IF(AND(F292="Ada",F298="Tidak Ada"),"CEK","")))</f>
        <v/>
      </c>
      <c r="K298" s="31" t="str">
        <f>IF(J298="CEK",F292&amp;" Wisata Budaya","")</f>
        <v/>
      </c>
      <c r="L298" s="43"/>
      <c r="M298" s="21"/>
      <c r="N298" s="21"/>
      <c r="O298" s="21"/>
      <c r="P298" s="21"/>
      <c r="Q298" s="21"/>
      <c r="R298" s="21"/>
      <c r="S298" s="21"/>
      <c r="T298" s="21"/>
      <c r="U298" s="21"/>
      <c r="V298" s="21"/>
    </row>
    <row r="299" spans="1:22" s="2" customFormat="1" ht="30" customHeight="1" x14ac:dyDescent="0.25">
      <c r="A299" s="542"/>
      <c r="B299" s="242" t="s">
        <v>254</v>
      </c>
      <c r="C299" s="342" t="s">
        <v>662</v>
      </c>
      <c r="D299" s="100">
        <f t="shared" si="21"/>
        <v>743</v>
      </c>
      <c r="E299" s="427" t="s">
        <v>171</v>
      </c>
      <c r="F299" s="694" t="s">
        <v>263</v>
      </c>
      <c r="G299" s="924"/>
      <c r="H299" s="922"/>
      <c r="I299" s="923"/>
      <c r="J299" s="198" t="str">
        <f>IF(F299="","Belum Terisi",IF(AND(F292="Tidak Ada",F299&lt;&gt;"Tidak Ada"),"CEK",IF(AND(F292="Ada",F299="Tidak Ada"),"CEK",IF(AND(F292="Ada",F297="&lt;500 meter",OR(F299="500-1.000 meter",F299="1.000-1.500 meter",F299="&gt;1.500 meter")),"CEK",""))))</f>
        <v/>
      </c>
      <c r="K299" s="31" t="str">
        <f>IF(AND(J299="CEK",F292="Tidak Ada"),F292&amp;" Wisata Budaya Desa Wisata",IF(AND(J299="CEK",F297="&lt;500 meter",OR(F299="500-1.000 meter",F299="1.000-1.500 meter",F299="&gt;1.500 meter")),"Panjang Jalan Rusak Melebihi Jarak Menuju Objek Wisata Budaya Desa Wisata",""))</f>
        <v/>
      </c>
      <c r="L299" s="43"/>
      <c r="M299" s="21"/>
      <c r="N299" s="21"/>
      <c r="O299" s="21"/>
      <c r="P299" s="21"/>
      <c r="Q299" s="21"/>
      <c r="R299" s="21"/>
      <c r="S299" s="21"/>
      <c r="T299" s="21"/>
      <c r="U299" s="21"/>
      <c r="V299" s="21"/>
    </row>
    <row r="300" spans="1:22" s="2" customFormat="1" ht="30" customHeight="1" x14ac:dyDescent="0.25">
      <c r="A300" s="541"/>
      <c r="B300" s="242" t="s">
        <v>256</v>
      </c>
      <c r="C300" s="342" t="s">
        <v>661</v>
      </c>
      <c r="D300" s="100">
        <f t="shared" si="21"/>
        <v>744</v>
      </c>
      <c r="E300" s="427" t="s">
        <v>171</v>
      </c>
      <c r="F300" s="697" t="s">
        <v>263</v>
      </c>
      <c r="G300" s="924"/>
      <c r="H300" s="922"/>
      <c r="I300" s="923"/>
      <c r="J300" s="198" t="str">
        <f>IF(F300="","Belum Terisi",IF(AND(F292="tidak Ada",F300&lt;&gt;"Tidak Ada"),"CEK",""))</f>
        <v/>
      </c>
      <c r="K300" s="31"/>
      <c r="L300" s="43"/>
      <c r="M300" s="21"/>
      <c r="N300" s="21"/>
      <c r="O300" s="21"/>
      <c r="P300" s="21"/>
      <c r="Q300" s="21"/>
      <c r="R300" s="21"/>
      <c r="S300" s="21"/>
      <c r="T300" s="21"/>
      <c r="U300" s="21"/>
      <c r="V300" s="21"/>
    </row>
    <row r="301" spans="1:22" s="2" customFormat="1" ht="30" customHeight="1" x14ac:dyDescent="0.25">
      <c r="A301" s="648">
        <f>A292+1</f>
        <v>60</v>
      </c>
      <c r="B301" s="359"/>
      <c r="C301" s="360" t="s">
        <v>1130</v>
      </c>
      <c r="D301" s="100">
        <f t="shared" si="21"/>
        <v>745</v>
      </c>
      <c r="E301" s="427" t="s">
        <v>171</v>
      </c>
      <c r="F301" s="693" t="s">
        <v>263</v>
      </c>
      <c r="G301" s="924"/>
      <c r="H301" s="922"/>
      <c r="I301" s="923"/>
      <c r="J301" s="198" t="str">
        <f>IF(LEN(F301)&gt;0,"","Belum Terisi")</f>
        <v/>
      </c>
      <c r="K301" s="31"/>
      <c r="L301" s="31"/>
      <c r="M301" s="21"/>
      <c r="N301" s="21"/>
      <c r="O301" s="21"/>
      <c r="P301" s="21"/>
      <c r="Q301" s="21"/>
      <c r="R301" s="21"/>
      <c r="S301" s="21"/>
      <c r="T301" s="21"/>
      <c r="U301" s="21"/>
      <c r="V301" s="21"/>
    </row>
    <row r="302" spans="1:22" s="2" customFormat="1" ht="30" customHeight="1" x14ac:dyDescent="0.25">
      <c r="A302" s="542"/>
      <c r="B302" s="242" t="s">
        <v>41</v>
      </c>
      <c r="C302" s="361" t="s">
        <v>789</v>
      </c>
      <c r="D302" s="100">
        <f t="shared" si="21"/>
        <v>746</v>
      </c>
      <c r="E302" s="504" t="s">
        <v>174</v>
      </c>
      <c r="F302" s="767" t="s">
        <v>240</v>
      </c>
      <c r="G302" s="924"/>
      <c r="H302" s="922"/>
      <c r="I302" s="923"/>
      <c r="J302" s="198" t="str">
        <f>IF(F302="","Belum Terisi",IF(AND(F301="Tidak Ada",F302&lt;&gt;"-"),"CEK",IF(AND(F301="Ada",F302="-"),"CEK","")))</f>
        <v/>
      </c>
      <c r="K302" s="31" t="str">
        <f>IF(J302="CEK",F301&amp;" Wisata Sejarah dan Religi","")</f>
        <v/>
      </c>
      <c r="L302" s="43"/>
      <c r="M302" s="21"/>
      <c r="N302" s="21"/>
      <c r="O302" s="21"/>
      <c r="P302" s="21"/>
      <c r="Q302" s="21"/>
      <c r="R302" s="21"/>
      <c r="S302" s="21"/>
      <c r="T302" s="21"/>
      <c r="U302" s="21"/>
      <c r="V302" s="21"/>
    </row>
    <row r="303" spans="1:22" s="2" customFormat="1" ht="30" customHeight="1" x14ac:dyDescent="0.25">
      <c r="A303" s="542"/>
      <c r="B303" s="242" t="s">
        <v>139</v>
      </c>
      <c r="C303" s="342" t="s">
        <v>1146</v>
      </c>
      <c r="D303" s="100">
        <f t="shared" si="21"/>
        <v>747</v>
      </c>
      <c r="E303" s="427" t="s">
        <v>174</v>
      </c>
      <c r="F303" s="767" t="s">
        <v>240</v>
      </c>
      <c r="G303" s="924"/>
      <c r="H303" s="922"/>
      <c r="I303" s="923"/>
      <c r="J303" s="198" t="str">
        <f>IF(F303="","Belum Terisi",IF(AND(F301="Tidak Ada",F303&lt;&gt;"-"),"CEK",IF(AND(F301="Ada",F303="-"),"CEK","")))</f>
        <v/>
      </c>
      <c r="K303" s="31" t="str">
        <f>IF(J303="CEK",F301&amp;" Wisata Sejarah dan Religi","")</f>
        <v/>
      </c>
      <c r="L303" s="43"/>
      <c r="M303" s="21"/>
      <c r="N303" s="21"/>
      <c r="O303" s="21"/>
      <c r="P303" s="21"/>
      <c r="Q303" s="21"/>
      <c r="R303" s="21"/>
      <c r="S303" s="21"/>
      <c r="T303" s="21"/>
      <c r="U303" s="21"/>
      <c r="V303" s="21"/>
    </row>
    <row r="304" spans="1:22" s="2" customFormat="1" ht="30" customHeight="1" x14ac:dyDescent="0.25">
      <c r="A304" s="542"/>
      <c r="B304" s="242" t="s">
        <v>251</v>
      </c>
      <c r="C304" s="362" t="s">
        <v>790</v>
      </c>
      <c r="D304" s="100">
        <f t="shared" si="21"/>
        <v>748</v>
      </c>
      <c r="E304" s="463" t="s">
        <v>174</v>
      </c>
      <c r="F304" s="767" t="s">
        <v>240</v>
      </c>
      <c r="G304" s="924"/>
      <c r="H304" s="922"/>
      <c r="I304" s="923"/>
      <c r="J304" s="198" t="str">
        <f>IF(F304="","Belum Terisi",IF(AND(F301="Tidak Ada",F304&lt;&gt;"-"),"CEK",IF(AND(F301="Ada",F304="-"),"CEK","")))</f>
        <v/>
      </c>
      <c r="K304" s="31" t="str">
        <f>IF(J304="CEK",F301&amp;" Wisata Sejarah dan Religi","")</f>
        <v/>
      </c>
      <c r="L304" s="43"/>
      <c r="M304" s="21"/>
      <c r="N304" s="21"/>
      <c r="O304" s="21"/>
      <c r="P304" s="21"/>
      <c r="Q304" s="21"/>
      <c r="R304" s="21"/>
      <c r="S304" s="21"/>
      <c r="T304" s="21"/>
      <c r="U304" s="21"/>
      <c r="V304" s="21"/>
    </row>
    <row r="305" spans="1:22" s="2" customFormat="1" ht="30" customHeight="1" x14ac:dyDescent="0.25">
      <c r="A305" s="542"/>
      <c r="B305" s="242" t="s">
        <v>255</v>
      </c>
      <c r="C305" s="342" t="s">
        <v>1162</v>
      </c>
      <c r="D305" s="100">
        <f t="shared" si="21"/>
        <v>749</v>
      </c>
      <c r="E305" s="427" t="s">
        <v>171</v>
      </c>
      <c r="F305" s="694" t="s">
        <v>263</v>
      </c>
      <c r="G305" s="924"/>
      <c r="H305" s="922"/>
      <c r="I305" s="923"/>
      <c r="J305" s="198" t="str">
        <f>IF(F305="","Belum Terisi",IF(AND(F301="Tidak Ada",F305&lt;&gt;"Tidak Ada"),"CEK",IF(AND(F301="Ada",F305="Tidak Ada"),"CEK","")))</f>
        <v/>
      </c>
      <c r="K305" s="31" t="str">
        <f>IF(J305="CEK",F301&amp;" Wisata Sejarah dan Religi","")</f>
        <v/>
      </c>
      <c r="L305" s="43"/>
      <c r="M305" s="21"/>
      <c r="N305" s="21"/>
      <c r="O305" s="21"/>
      <c r="P305" s="21"/>
      <c r="Q305" s="21"/>
      <c r="R305" s="21"/>
      <c r="S305" s="21"/>
      <c r="T305" s="21"/>
      <c r="U305" s="21"/>
      <c r="V305" s="21"/>
    </row>
    <row r="306" spans="1:22" s="2" customFormat="1" ht="30" customHeight="1" x14ac:dyDescent="0.25">
      <c r="A306" s="542"/>
      <c r="B306" s="242" t="s">
        <v>252</v>
      </c>
      <c r="C306" s="342" t="s">
        <v>663</v>
      </c>
      <c r="D306" s="100">
        <f t="shared" si="21"/>
        <v>750</v>
      </c>
      <c r="E306" s="427" t="s">
        <v>171</v>
      </c>
      <c r="F306" s="694" t="s">
        <v>263</v>
      </c>
      <c r="G306" s="924"/>
      <c r="H306" s="922"/>
      <c r="I306" s="923"/>
      <c r="J306" s="198" t="str">
        <f>IF(F306="","Belum Terisi",IF(AND(F301="Tidak Ada",F306&lt;&gt;"Tidak Ada"),"CEK",IF(AND(F301="Ada",F306="Tidak Ada"),"CEK","")))</f>
        <v/>
      </c>
      <c r="K306" s="31" t="str">
        <f>IF(J306="CEK",F301&amp;" Wisata Sejarah dan Religi","")</f>
        <v/>
      </c>
      <c r="L306" s="43"/>
      <c r="M306" s="21"/>
      <c r="N306" s="21"/>
      <c r="O306" s="21"/>
      <c r="P306" s="21"/>
      <c r="Q306" s="21"/>
      <c r="R306" s="21"/>
      <c r="S306" s="21"/>
      <c r="T306" s="21"/>
      <c r="U306" s="21"/>
      <c r="V306" s="21"/>
    </row>
    <row r="307" spans="1:22" s="2" customFormat="1" ht="40.15" customHeight="1" x14ac:dyDescent="0.25">
      <c r="A307" s="542"/>
      <c r="B307" s="242" t="s">
        <v>253</v>
      </c>
      <c r="C307" s="342" t="s">
        <v>807</v>
      </c>
      <c r="D307" s="100">
        <f t="shared" si="21"/>
        <v>751</v>
      </c>
      <c r="E307" s="427" t="s">
        <v>171</v>
      </c>
      <c r="F307" s="694" t="s">
        <v>263</v>
      </c>
      <c r="G307" s="924"/>
      <c r="H307" s="922"/>
      <c r="I307" s="923"/>
      <c r="J307" s="198" t="str">
        <f>IF(F307="","Belum Terisi",IF(AND(F301="Tidak Ada",F307&lt;&gt;"Tidak Ada"),"CEK",IF(AND(F301="Ada",F307="Tidak Ada"),"CEK","")))</f>
        <v/>
      </c>
      <c r="K307" s="31" t="str">
        <f>IF(J307="CEK",F301&amp;" Wisata Sejarah dan Religi","")</f>
        <v/>
      </c>
      <c r="L307" s="43"/>
      <c r="M307" s="21"/>
      <c r="N307" s="21"/>
      <c r="O307" s="21"/>
      <c r="P307" s="21"/>
      <c r="Q307" s="21"/>
      <c r="R307" s="21"/>
      <c r="S307" s="21"/>
      <c r="T307" s="21"/>
      <c r="U307" s="21"/>
      <c r="V307" s="21"/>
    </row>
    <row r="308" spans="1:22" s="2" customFormat="1" ht="30" customHeight="1" x14ac:dyDescent="0.25">
      <c r="A308" s="542"/>
      <c r="B308" s="242" t="s">
        <v>254</v>
      </c>
      <c r="C308" s="342" t="s">
        <v>662</v>
      </c>
      <c r="D308" s="100">
        <f t="shared" si="21"/>
        <v>752</v>
      </c>
      <c r="E308" s="427" t="s">
        <v>171</v>
      </c>
      <c r="F308" s="694" t="s">
        <v>263</v>
      </c>
      <c r="G308" s="924"/>
      <c r="H308" s="922"/>
      <c r="I308" s="923"/>
      <c r="J308" s="198" t="str">
        <f>IF(F308="","Belum Terisi",IF(AND(F301="Tidak Ada",F308&lt;&gt;"Tidak Ada"),"CEK",IF(AND(F301="Ada",F308="Tidak Ada"),"CEK",IF(AND(F301="Ada",F306="&lt;500 meter",OR(F308="500-1.000 meter",F308="1.000-1.500 meter",F308="&gt;1.500 meter")),"CEK",""))))</f>
        <v/>
      </c>
      <c r="K308" s="31" t="str">
        <f>IF(AND(J308="CEK",F301="Tidak Ada"),F301&amp;" Wisata Sejarah dan Religi",IF(AND(J308="CEK",F306="&lt;500 meter",OR(F308="500-1.000 meter",F308="1.000-1.500 meter",F308="&gt;1.500 meter")),"Panjang Jalan Rusak Melebihi Jarak Menuju Objek Wisata Sejarah dan Religi",""))</f>
        <v/>
      </c>
      <c r="L308" s="43"/>
      <c r="M308" s="21"/>
      <c r="N308" s="21"/>
      <c r="O308" s="21"/>
      <c r="P308" s="21"/>
      <c r="Q308" s="21"/>
      <c r="R308" s="21"/>
      <c r="S308" s="21"/>
      <c r="T308" s="21"/>
      <c r="U308" s="21"/>
      <c r="V308" s="21"/>
    </row>
    <row r="309" spans="1:22" s="2" customFormat="1" ht="30" customHeight="1" x14ac:dyDescent="0.25">
      <c r="A309" s="541"/>
      <c r="B309" s="242" t="s">
        <v>256</v>
      </c>
      <c r="C309" s="342" t="s">
        <v>661</v>
      </c>
      <c r="D309" s="100">
        <f t="shared" si="21"/>
        <v>753</v>
      </c>
      <c r="E309" s="427" t="s">
        <v>171</v>
      </c>
      <c r="F309" s="697" t="s">
        <v>263</v>
      </c>
      <c r="G309" s="924"/>
      <c r="H309" s="922"/>
      <c r="I309" s="923"/>
      <c r="J309" s="198" t="str">
        <f>IF(F309="","Belum Terisi",IF(AND(F301="tidak Ada",F309&lt;&gt;"Tidak Ada"),"CEK",""))</f>
        <v/>
      </c>
      <c r="K309" s="31"/>
      <c r="L309" s="43"/>
      <c r="M309" s="21"/>
      <c r="N309" s="21"/>
      <c r="O309" s="21"/>
      <c r="P309" s="21"/>
      <c r="Q309" s="21"/>
      <c r="R309" s="21"/>
      <c r="S309" s="21"/>
      <c r="T309" s="21"/>
      <c r="U309" s="21"/>
      <c r="V309" s="21"/>
    </row>
    <row r="310" spans="1:22" s="2" customFormat="1" ht="30" customHeight="1" x14ac:dyDescent="0.25">
      <c r="A310" s="648">
        <f>A301+1</f>
        <v>61</v>
      </c>
      <c r="B310" s="359"/>
      <c r="C310" s="360" t="s">
        <v>1131</v>
      </c>
      <c r="D310" s="100">
        <f t="shared" si="21"/>
        <v>754</v>
      </c>
      <c r="E310" s="427" t="s">
        <v>171</v>
      </c>
      <c r="F310" s="693" t="s">
        <v>263</v>
      </c>
      <c r="G310" s="924"/>
      <c r="H310" s="922"/>
      <c r="I310" s="923"/>
      <c r="J310" s="198" t="str">
        <f>IF(LEN(F310)&gt;0,"","Belum Terisi")</f>
        <v/>
      </c>
      <c r="K310" s="31"/>
      <c r="L310" s="43"/>
      <c r="M310" s="21"/>
      <c r="N310" s="21"/>
      <c r="O310" s="21"/>
      <c r="P310" s="21"/>
      <c r="Q310" s="21"/>
      <c r="R310" s="21"/>
      <c r="S310" s="21"/>
      <c r="T310" s="21"/>
      <c r="U310" s="21"/>
      <c r="V310" s="21"/>
    </row>
    <row r="311" spans="1:22" s="2" customFormat="1" ht="30" customHeight="1" x14ac:dyDescent="0.25">
      <c r="A311" s="542"/>
      <c r="B311" s="242" t="s">
        <v>41</v>
      </c>
      <c r="C311" s="361" t="s">
        <v>789</v>
      </c>
      <c r="D311" s="100">
        <f t="shared" si="21"/>
        <v>755</v>
      </c>
      <c r="E311" s="504" t="s">
        <v>174</v>
      </c>
      <c r="F311" s="767" t="s">
        <v>240</v>
      </c>
      <c r="G311" s="924"/>
      <c r="H311" s="922"/>
      <c r="I311" s="923"/>
      <c r="J311" s="198" t="str">
        <f>IF(F311="","Belum Terisi",IF(AND(F310="Tidak Ada",F311&lt;&gt;"-"),"CEK",IF(AND(F310="Ada",F311="-"),"CEK","")))</f>
        <v/>
      </c>
      <c r="K311" s="31" t="str">
        <f>IF(J311="CEK",F310&amp;" Wisata Kuliner","")</f>
        <v/>
      </c>
      <c r="L311" s="43"/>
      <c r="M311" s="21"/>
      <c r="N311" s="21"/>
      <c r="O311" s="21"/>
      <c r="P311" s="21"/>
      <c r="Q311" s="21"/>
      <c r="R311" s="21"/>
      <c r="S311" s="21"/>
      <c r="T311" s="21"/>
      <c r="U311" s="21"/>
      <c r="V311" s="21"/>
    </row>
    <row r="312" spans="1:22" s="2" customFormat="1" ht="30" customHeight="1" x14ac:dyDescent="0.25">
      <c r="A312" s="542"/>
      <c r="B312" s="242" t="s">
        <v>139</v>
      </c>
      <c r="C312" s="342" t="s">
        <v>1147</v>
      </c>
      <c r="D312" s="100">
        <f t="shared" si="21"/>
        <v>756</v>
      </c>
      <c r="E312" s="427" t="s">
        <v>174</v>
      </c>
      <c r="F312" s="767" t="s">
        <v>240</v>
      </c>
      <c r="G312" s="924"/>
      <c r="H312" s="922"/>
      <c r="I312" s="923"/>
      <c r="J312" s="198" t="str">
        <f>IF(F312="","Belum Terisi",IF(AND(F310="Tidak Ada",F312&lt;&gt;"-"),"CEK",IF(AND(F310="Ada",F312="-"),"CEK","")))</f>
        <v/>
      </c>
      <c r="K312" s="31" t="str">
        <f>IF(J312="CEK",F310&amp;" Wisata Kuliner","")</f>
        <v/>
      </c>
      <c r="L312" s="43"/>
      <c r="M312" s="21"/>
      <c r="N312" s="21"/>
      <c r="O312" s="21"/>
      <c r="P312" s="21"/>
      <c r="Q312" s="21"/>
      <c r="R312" s="21"/>
      <c r="S312" s="21"/>
      <c r="T312" s="21"/>
      <c r="U312" s="21"/>
      <c r="V312" s="21"/>
    </row>
    <row r="313" spans="1:22" s="2" customFormat="1" ht="30" customHeight="1" x14ac:dyDescent="0.25">
      <c r="A313" s="542"/>
      <c r="B313" s="242" t="s">
        <v>251</v>
      </c>
      <c r="C313" s="362" t="s">
        <v>790</v>
      </c>
      <c r="D313" s="100">
        <f t="shared" si="21"/>
        <v>757</v>
      </c>
      <c r="E313" s="463" t="s">
        <v>174</v>
      </c>
      <c r="F313" s="767" t="s">
        <v>240</v>
      </c>
      <c r="G313" s="924"/>
      <c r="H313" s="922"/>
      <c r="I313" s="923"/>
      <c r="J313" s="198" t="str">
        <f>IF(F313="","Belum Terisi",IF(AND(F310="Tidak Ada",F313&lt;&gt;"-"),"CEK",IF(AND(F310="Ada",F313="-"),"CEK","")))</f>
        <v/>
      </c>
      <c r="K313" s="31" t="str">
        <f>IF(J313="CEK",F310&amp;" Wisata Kuliner","")</f>
        <v/>
      </c>
      <c r="L313" s="43"/>
      <c r="M313" s="21"/>
      <c r="N313" s="21"/>
      <c r="O313" s="21"/>
      <c r="P313" s="21"/>
      <c r="Q313" s="21"/>
      <c r="R313" s="21"/>
      <c r="S313" s="21"/>
      <c r="T313" s="21"/>
      <c r="U313" s="21"/>
      <c r="V313" s="21"/>
    </row>
    <row r="314" spans="1:22" s="2" customFormat="1" ht="30" customHeight="1" x14ac:dyDescent="0.25">
      <c r="A314" s="542"/>
      <c r="B314" s="242" t="s">
        <v>255</v>
      </c>
      <c r="C314" s="342" t="s">
        <v>1163</v>
      </c>
      <c r="D314" s="100">
        <f t="shared" si="21"/>
        <v>758</v>
      </c>
      <c r="E314" s="427" t="s">
        <v>171</v>
      </c>
      <c r="F314" s="694" t="s">
        <v>263</v>
      </c>
      <c r="G314" s="924"/>
      <c r="H314" s="922"/>
      <c r="I314" s="923"/>
      <c r="J314" s="198" t="str">
        <f>IF(F314="","Belum Terisi",IF(AND(F310="Tidak Ada",F314&lt;&gt;"Tidak Ada"),"CEK",IF(AND(F310="Ada",F314="Tidak Ada"),"CEK","")))</f>
        <v/>
      </c>
      <c r="K314" s="31" t="str">
        <f>IF(J314="CEK",F310&amp;" Wisata Kuliner","")</f>
        <v/>
      </c>
      <c r="L314" s="43"/>
      <c r="M314" s="21"/>
      <c r="N314" s="21"/>
      <c r="O314" s="21"/>
      <c r="P314" s="21"/>
      <c r="Q314" s="21"/>
      <c r="R314" s="21"/>
      <c r="S314" s="21"/>
      <c r="T314" s="21"/>
      <c r="U314" s="21"/>
      <c r="V314" s="21"/>
    </row>
    <row r="315" spans="1:22" s="2" customFormat="1" ht="30" customHeight="1" x14ac:dyDescent="0.25">
      <c r="A315" s="542"/>
      <c r="B315" s="242" t="s">
        <v>252</v>
      </c>
      <c r="C315" s="342" t="s">
        <v>663</v>
      </c>
      <c r="D315" s="100">
        <f t="shared" si="21"/>
        <v>759</v>
      </c>
      <c r="E315" s="427" t="s">
        <v>171</v>
      </c>
      <c r="F315" s="694" t="s">
        <v>263</v>
      </c>
      <c r="G315" s="924"/>
      <c r="H315" s="922"/>
      <c r="I315" s="923"/>
      <c r="J315" s="198" t="str">
        <f>IF(F315="","Belum Terisi",IF(AND(F310="Tidak Ada",F315&lt;&gt;"Tidak Ada"),"CEK",IF(AND(F310="Ada",F315="Tidak Ada"),"CEK","")))</f>
        <v/>
      </c>
      <c r="K315" s="31" t="str">
        <f>IF(J315="CEK",F310&amp;" Wisata Kuliner","")</f>
        <v/>
      </c>
      <c r="L315" s="43"/>
      <c r="M315" s="21"/>
      <c r="N315" s="21"/>
      <c r="O315" s="21"/>
      <c r="P315" s="21"/>
      <c r="Q315" s="21"/>
      <c r="R315" s="21"/>
      <c r="S315" s="21"/>
      <c r="T315" s="21"/>
      <c r="U315" s="21"/>
      <c r="V315" s="21"/>
    </row>
    <row r="316" spans="1:22" s="2" customFormat="1" ht="40.15" customHeight="1" x14ac:dyDescent="0.25">
      <c r="A316" s="542"/>
      <c r="B316" s="242" t="s">
        <v>253</v>
      </c>
      <c r="C316" s="342" t="s">
        <v>807</v>
      </c>
      <c r="D316" s="100">
        <f t="shared" si="21"/>
        <v>760</v>
      </c>
      <c r="E316" s="427" t="s">
        <v>171</v>
      </c>
      <c r="F316" s="694" t="s">
        <v>263</v>
      </c>
      <c r="G316" s="924"/>
      <c r="H316" s="922"/>
      <c r="I316" s="923"/>
      <c r="J316" s="198" t="str">
        <f>IF(F316="","Belum Terisi",IF(AND(F310="Tidak Ada",F316&lt;&gt;"Tidak Ada"),"CEK",IF(AND(F310="Ada",F316="Tidak Ada"),"CEK","")))</f>
        <v/>
      </c>
      <c r="K316" s="31" t="str">
        <f>IF(J316="CEK",F310&amp;" Wisata Kuliner","")</f>
        <v/>
      </c>
      <c r="L316" s="43"/>
      <c r="M316" s="21"/>
      <c r="N316" s="21"/>
      <c r="O316" s="21"/>
      <c r="P316" s="21"/>
      <c r="Q316" s="21"/>
      <c r="R316" s="21"/>
      <c r="S316" s="21"/>
      <c r="T316" s="21"/>
      <c r="U316" s="21"/>
      <c r="V316" s="21"/>
    </row>
    <row r="317" spans="1:22" s="2" customFormat="1" ht="30" customHeight="1" x14ac:dyDescent="0.25">
      <c r="A317" s="542"/>
      <c r="B317" s="242" t="s">
        <v>254</v>
      </c>
      <c r="C317" s="342" t="s">
        <v>662</v>
      </c>
      <c r="D317" s="100">
        <f t="shared" si="21"/>
        <v>761</v>
      </c>
      <c r="E317" s="427" t="s">
        <v>171</v>
      </c>
      <c r="F317" s="694" t="s">
        <v>263</v>
      </c>
      <c r="G317" s="924"/>
      <c r="H317" s="922"/>
      <c r="I317" s="923"/>
      <c r="J317" s="198" t="str">
        <f>IF(F317="","Belum Terisi",IF(AND(F310="Tidak Ada",F317&lt;&gt;"Tidak Ada"),"CEK",IF(AND(F310="Ada",F317="Tidak Ada"),"CEK",IF(AND(F310="Ada",F315="&lt;500 meter",OR(F317="500-1.000 meter",F317="1.000-1.500 meter",F317="&gt;1.500 meter")),"CEK",""))))</f>
        <v/>
      </c>
      <c r="K317" s="31" t="str">
        <f>IF(AND(J317="CEK",F310="Tidak Ada"),F310&amp;" Wisata Kuliner",IF(AND(J317="CEK",F315="&lt;500 meter",OR(F317="500-1.000 meter",F317="1.000-1.500 meter",F317="&gt;1.500 meter")),"Panjang Jalan Rusak Melebihi Jarak Menuju Objek Wisata Kuliner",""))</f>
        <v/>
      </c>
      <c r="L317" s="43"/>
      <c r="M317" s="21"/>
      <c r="N317" s="21"/>
      <c r="O317" s="21"/>
      <c r="P317" s="21"/>
      <c r="Q317" s="21"/>
      <c r="R317" s="21"/>
      <c r="S317" s="21"/>
      <c r="T317" s="21"/>
      <c r="U317" s="21"/>
      <c r="V317" s="21"/>
    </row>
    <row r="318" spans="1:22" s="2" customFormat="1" ht="30" customHeight="1" x14ac:dyDescent="0.25">
      <c r="A318" s="541"/>
      <c r="B318" s="242" t="s">
        <v>256</v>
      </c>
      <c r="C318" s="342" t="s">
        <v>661</v>
      </c>
      <c r="D318" s="100">
        <f t="shared" si="21"/>
        <v>762</v>
      </c>
      <c r="E318" s="427" t="s">
        <v>171</v>
      </c>
      <c r="F318" s="697" t="s">
        <v>263</v>
      </c>
      <c r="G318" s="924"/>
      <c r="H318" s="922"/>
      <c r="I318" s="923"/>
      <c r="J318" s="198" t="str">
        <f>IF(F318="","Belum Terisi",IF(AND(F310="tidak Ada",F318&lt;&gt;"Tidak Ada"),"CEK",""))</f>
        <v/>
      </c>
      <c r="K318" s="31"/>
      <c r="L318" s="43"/>
      <c r="M318" s="21"/>
      <c r="N318" s="21"/>
      <c r="O318" s="21"/>
      <c r="P318" s="21"/>
      <c r="Q318" s="21"/>
      <c r="R318" s="21"/>
      <c r="S318" s="21"/>
      <c r="T318" s="21"/>
      <c r="U318" s="21"/>
      <c r="V318" s="21"/>
    </row>
    <row r="319" spans="1:22" s="2" customFormat="1" ht="30" customHeight="1" x14ac:dyDescent="0.25">
      <c r="A319" s="648">
        <f>A310+1</f>
        <v>62</v>
      </c>
      <c r="B319" s="359"/>
      <c r="C319" s="360" t="s">
        <v>1132</v>
      </c>
      <c r="D319" s="100">
        <f t="shared" si="21"/>
        <v>763</v>
      </c>
      <c r="E319" s="427" t="s">
        <v>171</v>
      </c>
      <c r="F319" s="693" t="s">
        <v>263</v>
      </c>
      <c r="G319" s="924"/>
      <c r="H319" s="922"/>
      <c r="I319" s="923"/>
      <c r="J319" s="198" t="str">
        <f>IF(LEN(F319)&gt;0,"","Belum Terisi")</f>
        <v/>
      </c>
      <c r="K319" s="31"/>
      <c r="L319" s="43"/>
      <c r="M319" s="21"/>
      <c r="N319" s="21"/>
      <c r="O319" s="21"/>
      <c r="P319" s="21"/>
      <c r="Q319" s="21"/>
      <c r="R319" s="21"/>
      <c r="S319" s="21"/>
      <c r="T319" s="21"/>
      <c r="U319" s="21"/>
      <c r="V319" s="21"/>
    </row>
    <row r="320" spans="1:22" s="2" customFormat="1" ht="30" customHeight="1" x14ac:dyDescent="0.25">
      <c r="A320" s="542"/>
      <c r="B320" s="242" t="s">
        <v>41</v>
      </c>
      <c r="C320" s="361" t="s">
        <v>789</v>
      </c>
      <c r="D320" s="100">
        <f t="shared" si="21"/>
        <v>764</v>
      </c>
      <c r="E320" s="504" t="s">
        <v>174</v>
      </c>
      <c r="F320" s="767" t="s">
        <v>240</v>
      </c>
      <c r="G320" s="924"/>
      <c r="H320" s="922"/>
      <c r="I320" s="923"/>
      <c r="J320" s="198" t="str">
        <f>IF(F320="","Belum Terisi",IF(AND(F319="Tidak Ada",F320&lt;&gt;"-"),"CEK",IF(AND(F319="Ada",F320="-"),"CEK","")))</f>
        <v/>
      </c>
      <c r="K320" s="31" t="str">
        <f>IF(J320="CEK",F319&amp;" Wisata Seni dan Tradisi","")</f>
        <v/>
      </c>
      <c r="L320" s="43"/>
      <c r="M320" s="21"/>
      <c r="N320" s="21"/>
      <c r="O320" s="21"/>
      <c r="P320" s="21"/>
      <c r="Q320" s="21"/>
      <c r="R320" s="21"/>
      <c r="S320" s="21"/>
      <c r="T320" s="21"/>
      <c r="U320" s="21"/>
      <c r="V320" s="21"/>
    </row>
    <row r="321" spans="1:22" s="2" customFormat="1" ht="30" customHeight="1" x14ac:dyDescent="0.25">
      <c r="A321" s="542"/>
      <c r="B321" s="242" t="s">
        <v>139</v>
      </c>
      <c r="C321" s="342" t="s">
        <v>1148</v>
      </c>
      <c r="D321" s="100">
        <f t="shared" si="21"/>
        <v>765</v>
      </c>
      <c r="E321" s="427" t="s">
        <v>174</v>
      </c>
      <c r="F321" s="767" t="s">
        <v>240</v>
      </c>
      <c r="G321" s="924"/>
      <c r="H321" s="922"/>
      <c r="I321" s="923"/>
      <c r="J321" s="198" t="str">
        <f>IF(F321="","Belum Terisi",IF(AND(F319="Tidak Ada",F321&lt;&gt;"-"),"CEK",IF(AND(F319="Ada",F321="-"),"CEK","")))</f>
        <v/>
      </c>
      <c r="K321" s="31" t="str">
        <f>IF(J321="CEK",F319&amp;" Wisata Seni dan Tradisi","")</f>
        <v/>
      </c>
      <c r="L321" s="43"/>
      <c r="M321" s="21"/>
      <c r="N321" s="21"/>
      <c r="O321" s="21"/>
      <c r="P321" s="21"/>
      <c r="Q321" s="21"/>
      <c r="R321" s="21"/>
      <c r="S321" s="21"/>
      <c r="T321" s="21"/>
      <c r="U321" s="21"/>
      <c r="V321" s="21"/>
    </row>
    <row r="322" spans="1:22" s="2" customFormat="1" ht="30" customHeight="1" x14ac:dyDescent="0.25">
      <c r="A322" s="542"/>
      <c r="B322" s="242" t="s">
        <v>251</v>
      </c>
      <c r="C322" s="362" t="s">
        <v>790</v>
      </c>
      <c r="D322" s="100">
        <f t="shared" si="21"/>
        <v>766</v>
      </c>
      <c r="E322" s="463" t="s">
        <v>174</v>
      </c>
      <c r="F322" s="767" t="s">
        <v>240</v>
      </c>
      <c r="G322" s="924"/>
      <c r="H322" s="922"/>
      <c r="I322" s="923"/>
      <c r="J322" s="198" t="str">
        <f>IF(F322="","Belum Terisi",IF(AND(F319="Tidak Ada",F322&lt;&gt;"-"),"CEK",IF(AND(F319="Ada",F322="-"),"CEK","")))</f>
        <v/>
      </c>
      <c r="K322" s="31" t="str">
        <f>IF(J322="CEK",F319&amp;" Wisata Seni dan Tradisi","")</f>
        <v/>
      </c>
      <c r="L322" s="43"/>
      <c r="M322" s="21"/>
      <c r="N322" s="21"/>
      <c r="O322" s="21"/>
      <c r="P322" s="21"/>
      <c r="Q322" s="21"/>
      <c r="R322" s="21"/>
      <c r="S322" s="21"/>
      <c r="T322" s="21"/>
      <c r="U322" s="21"/>
      <c r="V322" s="21"/>
    </row>
    <row r="323" spans="1:22" s="2" customFormat="1" ht="30" customHeight="1" x14ac:dyDescent="0.25">
      <c r="A323" s="542"/>
      <c r="B323" s="242" t="s">
        <v>255</v>
      </c>
      <c r="C323" s="342" t="s">
        <v>1164</v>
      </c>
      <c r="D323" s="100">
        <f t="shared" si="21"/>
        <v>767</v>
      </c>
      <c r="E323" s="427" t="s">
        <v>171</v>
      </c>
      <c r="F323" s="694" t="s">
        <v>263</v>
      </c>
      <c r="G323" s="924"/>
      <c r="H323" s="922"/>
      <c r="I323" s="923"/>
      <c r="J323" s="198" t="str">
        <f>IF(F323="","Belum Terisi",IF(AND(F319="Tidak Ada",F323&lt;&gt;"Tidak Ada"),"CEK",IF(AND(F319="Ada",F323="Tidak Ada"),"CEK","")))</f>
        <v/>
      </c>
      <c r="K323" s="31" t="str">
        <f>IF(J323="CEK",F319&amp;" Wisata Seni dan Tradisi","")</f>
        <v/>
      </c>
      <c r="L323" s="43"/>
      <c r="M323" s="21"/>
      <c r="N323" s="21"/>
      <c r="O323" s="21"/>
      <c r="P323" s="21"/>
      <c r="Q323" s="21"/>
      <c r="R323" s="21"/>
      <c r="S323" s="21"/>
      <c r="T323" s="21"/>
      <c r="U323" s="21"/>
      <c r="V323" s="21"/>
    </row>
    <row r="324" spans="1:22" s="2" customFormat="1" ht="30" customHeight="1" x14ac:dyDescent="0.25">
      <c r="A324" s="542"/>
      <c r="B324" s="242" t="s">
        <v>252</v>
      </c>
      <c r="C324" s="342" t="s">
        <v>663</v>
      </c>
      <c r="D324" s="100">
        <f t="shared" si="21"/>
        <v>768</v>
      </c>
      <c r="E324" s="427" t="s">
        <v>171</v>
      </c>
      <c r="F324" s="694" t="s">
        <v>263</v>
      </c>
      <c r="G324" s="924"/>
      <c r="H324" s="922"/>
      <c r="I324" s="923"/>
      <c r="J324" s="198" t="str">
        <f>IF(F324="","Belum Terisi",IF(AND(F319="Tidak Ada",F324&lt;&gt;"Tidak Ada"),"CEK",IF(AND(F319="Ada",F324="Tidak Ada"),"CEK","")))</f>
        <v/>
      </c>
      <c r="K324" s="31" t="str">
        <f>IF(J324="CEK",F319&amp;" Wisata Seni dan Tradisi","")</f>
        <v/>
      </c>
      <c r="L324" s="43"/>
      <c r="M324" s="21"/>
      <c r="N324" s="21"/>
      <c r="O324" s="21"/>
      <c r="P324" s="21"/>
      <c r="Q324" s="21"/>
      <c r="R324" s="21"/>
      <c r="S324" s="21"/>
      <c r="T324" s="21"/>
      <c r="U324" s="21"/>
      <c r="V324" s="21"/>
    </row>
    <row r="325" spans="1:22" s="2" customFormat="1" ht="40.15" customHeight="1" x14ac:dyDescent="0.25">
      <c r="A325" s="542"/>
      <c r="B325" s="242" t="s">
        <v>253</v>
      </c>
      <c r="C325" s="342" t="s">
        <v>807</v>
      </c>
      <c r="D325" s="100">
        <f t="shared" si="21"/>
        <v>769</v>
      </c>
      <c r="E325" s="427" t="s">
        <v>171</v>
      </c>
      <c r="F325" s="694" t="s">
        <v>263</v>
      </c>
      <c r="G325" s="924"/>
      <c r="H325" s="922"/>
      <c r="I325" s="923"/>
      <c r="J325" s="198" t="str">
        <f>IF(F325="","Belum Terisi",IF(AND(F319="Tidak Ada",F325&lt;&gt;"Tidak Ada"),"CEK",IF(AND(F319="Ada",F325="Tidak Ada"),"CEK","")))</f>
        <v/>
      </c>
      <c r="K325" s="31" t="str">
        <f>IF(J325="CEK",F319&amp;" Wisata Seni dan Tradisi","")</f>
        <v/>
      </c>
      <c r="L325" s="43"/>
      <c r="M325" s="21"/>
      <c r="N325" s="21"/>
      <c r="O325" s="21"/>
      <c r="P325" s="21"/>
      <c r="Q325" s="21"/>
      <c r="R325" s="21"/>
      <c r="S325" s="21"/>
      <c r="T325" s="21"/>
      <c r="U325" s="21"/>
      <c r="V325" s="21"/>
    </row>
    <row r="326" spans="1:22" s="2" customFormat="1" ht="30" customHeight="1" x14ac:dyDescent="0.25">
      <c r="A326" s="542"/>
      <c r="B326" s="242" t="s">
        <v>254</v>
      </c>
      <c r="C326" s="342" t="s">
        <v>662</v>
      </c>
      <c r="D326" s="100">
        <f t="shared" si="21"/>
        <v>770</v>
      </c>
      <c r="E326" s="427" t="s">
        <v>171</v>
      </c>
      <c r="F326" s="694" t="s">
        <v>263</v>
      </c>
      <c r="G326" s="924"/>
      <c r="H326" s="922"/>
      <c r="I326" s="923"/>
      <c r="J326" s="198" t="str">
        <f>IF(F326="","Belum Terisi",IF(AND(F319="Tidak Ada",F326&lt;&gt;"Tidak Ada"),"CEK",IF(AND(F319="Ada",F326="Tidak Ada"),"CEK",IF(AND(F319="Ada",F324="&lt;500 meter",OR(F326="500-1.000 meter",F326="1.000-1.500 meter",F326="&gt;1.500 meter")),"CEK",""))))</f>
        <v/>
      </c>
      <c r="K326" s="31" t="str">
        <f>IF(AND(J326="CEK",F319="Tidak Ada"),F319&amp;" Wisata Seni dan Tradisi",IF(AND(J326="CEK",F324="&lt;500 meter",OR(F326="500-1.000 meter",F326="1.000-1.500 meter",F326="&gt;1.500 meter")),"Panjang Jalan Rusak Melebihi Jarak Menuju Objek Wisata Seni dan Tradisi",""))</f>
        <v/>
      </c>
      <c r="L326" s="43"/>
      <c r="M326" s="21"/>
      <c r="N326" s="21"/>
      <c r="O326" s="21"/>
      <c r="P326" s="21"/>
      <c r="Q326" s="21"/>
      <c r="R326" s="21"/>
      <c r="S326" s="21"/>
      <c r="T326" s="21"/>
      <c r="U326" s="21"/>
      <c r="V326" s="21"/>
    </row>
    <row r="327" spans="1:22" s="2" customFormat="1" ht="30" customHeight="1" x14ac:dyDescent="0.25">
      <c r="A327" s="541"/>
      <c r="B327" s="242" t="s">
        <v>256</v>
      </c>
      <c r="C327" s="342" t="s">
        <v>661</v>
      </c>
      <c r="D327" s="100">
        <f t="shared" si="21"/>
        <v>771</v>
      </c>
      <c r="E327" s="427" t="s">
        <v>171</v>
      </c>
      <c r="F327" s="697" t="s">
        <v>263</v>
      </c>
      <c r="G327" s="924"/>
      <c r="H327" s="922"/>
      <c r="I327" s="923"/>
      <c r="J327" s="198" t="str">
        <f>IF(F327="","Belum Terisi",IF(AND(F319="tidak Ada",F327&lt;&gt;"Tidak Ada"),"CEK",""))</f>
        <v/>
      </c>
      <c r="K327" s="31"/>
      <c r="L327" s="43"/>
      <c r="M327" s="21"/>
      <c r="N327" s="21"/>
      <c r="O327" s="21"/>
      <c r="P327" s="21"/>
      <c r="Q327" s="21"/>
      <c r="R327" s="21"/>
      <c r="S327" s="21"/>
      <c r="T327" s="21"/>
      <c r="U327" s="21"/>
      <c r="V327" s="21"/>
    </row>
    <row r="328" spans="1:22" s="2" customFormat="1" ht="30" customHeight="1" x14ac:dyDescent="0.25">
      <c r="A328" s="648">
        <f>A319+1</f>
        <v>63</v>
      </c>
      <c r="B328" s="359"/>
      <c r="C328" s="360" t="s">
        <v>1133</v>
      </c>
      <c r="D328" s="100">
        <f t="shared" si="21"/>
        <v>772</v>
      </c>
      <c r="E328" s="427" t="s">
        <v>171</v>
      </c>
      <c r="F328" s="693" t="s">
        <v>263</v>
      </c>
      <c r="G328" s="924"/>
      <c r="H328" s="922"/>
      <c r="I328" s="923"/>
      <c r="J328" s="198" t="str">
        <f>IF(LEN(F328)&gt;0,"","Belum Terisi")</f>
        <v/>
      </c>
      <c r="K328" s="31"/>
      <c r="L328" s="43"/>
      <c r="M328" s="21"/>
      <c r="N328" s="21"/>
      <c r="O328" s="21"/>
      <c r="P328" s="21"/>
      <c r="Q328" s="21"/>
      <c r="R328" s="21"/>
      <c r="S328" s="21"/>
      <c r="T328" s="21"/>
      <c r="U328" s="21"/>
      <c r="V328" s="21"/>
    </row>
    <row r="329" spans="1:22" s="2" customFormat="1" ht="30" customHeight="1" x14ac:dyDescent="0.25">
      <c r="A329" s="542"/>
      <c r="B329" s="242" t="s">
        <v>41</v>
      </c>
      <c r="C329" s="342" t="s">
        <v>1149</v>
      </c>
      <c r="D329" s="100">
        <f t="shared" si="21"/>
        <v>773</v>
      </c>
      <c r="E329" s="504" t="s">
        <v>174</v>
      </c>
      <c r="F329" s="767" t="s">
        <v>240</v>
      </c>
      <c r="G329" s="924"/>
      <c r="H329" s="922"/>
      <c r="I329" s="923"/>
      <c r="J329" s="198" t="str">
        <f>IF(F329="","Belum Terisi",IF(AND(F328="Tidak Ada",F329&lt;&gt;"-"),"CEK",IF(AND(F328="Ada",F329="-"),"CEK","")))</f>
        <v/>
      </c>
      <c r="K329" s="31" t="str">
        <f>IF(J329="CEK",F328&amp;" Wisata Budaya Lainnya","")</f>
        <v/>
      </c>
      <c r="L329" s="43"/>
      <c r="M329" s="21"/>
      <c r="N329" s="21"/>
      <c r="O329" s="21"/>
      <c r="P329" s="21"/>
      <c r="Q329" s="21"/>
      <c r="R329" s="21"/>
      <c r="S329" s="21"/>
      <c r="T329" s="21"/>
      <c r="U329" s="21"/>
      <c r="V329" s="21"/>
    </row>
    <row r="330" spans="1:22" s="2" customFormat="1" ht="30" customHeight="1" x14ac:dyDescent="0.25">
      <c r="A330" s="542"/>
      <c r="B330" s="242" t="s">
        <v>139</v>
      </c>
      <c r="C330" s="342" t="s">
        <v>1165</v>
      </c>
      <c r="D330" s="100">
        <f t="shared" si="21"/>
        <v>774</v>
      </c>
      <c r="E330" s="427" t="s">
        <v>174</v>
      </c>
      <c r="F330" s="767" t="s">
        <v>240</v>
      </c>
      <c r="G330" s="924"/>
      <c r="H330" s="922"/>
      <c r="I330" s="923"/>
      <c r="J330" s="198" t="str">
        <f>IF(F330="","Belum Terisi",IF(AND(F328="Tidak Ada",F330&lt;&gt;"-"),"CEK",IF(AND(F328="Ada",F330="-"),"CEK","")))</f>
        <v/>
      </c>
      <c r="K330" s="31" t="str">
        <f>IF(J330="CEK",F328&amp;" Wisata Budaya Lainnya","")</f>
        <v/>
      </c>
      <c r="L330" s="43"/>
      <c r="M330" s="21"/>
      <c r="N330" s="21"/>
      <c r="O330" s="21"/>
      <c r="P330" s="21"/>
      <c r="Q330" s="21"/>
      <c r="R330" s="21"/>
      <c r="S330" s="21"/>
      <c r="T330" s="21"/>
      <c r="U330" s="21"/>
      <c r="V330" s="21"/>
    </row>
    <row r="331" spans="1:22" s="2" customFormat="1" ht="30" customHeight="1" x14ac:dyDescent="0.25">
      <c r="A331" s="542"/>
      <c r="B331" s="242" t="s">
        <v>251</v>
      </c>
      <c r="C331" s="362" t="s">
        <v>790</v>
      </c>
      <c r="D331" s="100">
        <f t="shared" si="21"/>
        <v>775</v>
      </c>
      <c r="E331" s="463" t="s">
        <v>174</v>
      </c>
      <c r="F331" s="767" t="s">
        <v>240</v>
      </c>
      <c r="G331" s="924"/>
      <c r="H331" s="922" t="s">
        <v>563</v>
      </c>
      <c r="I331" s="923"/>
      <c r="J331" s="198" t="str">
        <f>IF(F331="","Belum Terisi",IF(AND(F328="Tidak Ada",F331&lt;&gt;"-"),"CEK",IF(AND(F328="Ada",F331="-"),"CEK","")))</f>
        <v/>
      </c>
      <c r="K331" s="31" t="str">
        <f>IF(J331="CEK",F328&amp;" Wisata Budaya Lainnya","")</f>
        <v/>
      </c>
      <c r="L331" s="43"/>
      <c r="M331" s="21"/>
      <c r="N331" s="21"/>
      <c r="O331" s="21"/>
      <c r="P331" s="21"/>
      <c r="Q331" s="21"/>
      <c r="R331" s="21"/>
      <c r="S331" s="21"/>
      <c r="T331" s="21"/>
      <c r="U331" s="21"/>
      <c r="V331" s="21"/>
    </row>
    <row r="332" spans="1:22" s="2" customFormat="1" ht="30" customHeight="1" x14ac:dyDescent="0.25">
      <c r="A332" s="542"/>
      <c r="B332" s="857" t="s">
        <v>255</v>
      </c>
      <c r="C332" s="895" t="s">
        <v>1159</v>
      </c>
      <c r="D332" s="100">
        <f t="shared" si="21"/>
        <v>776</v>
      </c>
      <c r="E332" s="427" t="s">
        <v>171</v>
      </c>
      <c r="F332" s="694" t="s">
        <v>263</v>
      </c>
      <c r="G332" s="924"/>
      <c r="H332" s="922" t="s">
        <v>564</v>
      </c>
      <c r="I332" s="923"/>
      <c r="J332" s="198" t="str">
        <f>IF(F332="","Belum Terisi",IF(AND(F328="Tidak Ada",F332&lt;&gt;"Tidak Ada"),"CEK",IF(AND(F328="Ada",F332="Tidak Ada"),"CEK","")))</f>
        <v/>
      </c>
      <c r="K332" s="31" t="str">
        <f>IF(J332="CEK",F328&amp;" Wisata Budaya Lainnya","")</f>
        <v/>
      </c>
      <c r="L332" s="43"/>
      <c r="M332" s="21"/>
      <c r="N332" s="21"/>
      <c r="O332" s="21"/>
      <c r="P332" s="21"/>
      <c r="Q332" s="21"/>
      <c r="R332" s="21"/>
      <c r="S332" s="21"/>
      <c r="T332" s="21"/>
      <c r="U332" s="21"/>
      <c r="V332" s="21"/>
    </row>
    <row r="333" spans="1:22" s="2" customFormat="1" ht="30" customHeight="1" x14ac:dyDescent="0.25">
      <c r="A333" s="542"/>
      <c r="B333" s="242" t="s">
        <v>252</v>
      </c>
      <c r="C333" s="342" t="s">
        <v>663</v>
      </c>
      <c r="D333" s="100">
        <f t="shared" si="21"/>
        <v>777</v>
      </c>
      <c r="E333" s="427" t="s">
        <v>171</v>
      </c>
      <c r="F333" s="694" t="s">
        <v>263</v>
      </c>
      <c r="G333" s="924"/>
      <c r="H333" s="922" t="s">
        <v>565</v>
      </c>
      <c r="I333" s="923"/>
      <c r="J333" s="198" t="str">
        <f>IF(F333="","Belum Terisi",IF(AND(F328="Tidak Ada",F333&lt;&gt;"Tidak Ada"),"CEK",IF(AND(F328="Ada",F333="Tidak Ada"),"CEK","")))</f>
        <v/>
      </c>
      <c r="K333" s="31" t="str">
        <f>IF(J333="CEK",F328&amp;" Wisata Budaya Lainnya","")</f>
        <v/>
      </c>
      <c r="L333" s="43"/>
      <c r="M333" s="21"/>
      <c r="N333" s="21"/>
      <c r="O333" s="21"/>
      <c r="P333" s="21"/>
      <c r="Q333" s="21"/>
      <c r="R333" s="21"/>
      <c r="S333" s="21"/>
      <c r="T333" s="21"/>
      <c r="U333" s="21"/>
      <c r="V333" s="21"/>
    </row>
    <row r="334" spans="1:22" s="2" customFormat="1" ht="40.15" customHeight="1" x14ac:dyDescent="0.25">
      <c r="A334" s="542"/>
      <c r="B334" s="242" t="s">
        <v>253</v>
      </c>
      <c r="C334" s="342" t="s">
        <v>807</v>
      </c>
      <c r="D334" s="100">
        <f t="shared" si="21"/>
        <v>778</v>
      </c>
      <c r="E334" s="427" t="s">
        <v>171</v>
      </c>
      <c r="F334" s="694" t="s">
        <v>263</v>
      </c>
      <c r="G334" s="924"/>
      <c r="H334" s="922" t="s">
        <v>813</v>
      </c>
      <c r="I334" s="923"/>
      <c r="J334" s="198" t="str">
        <f>IF(F334="","Belum Terisi",IF(AND(F328="Tidak Ada",F334&lt;&gt;"Tidak Ada"),"CEK",IF(AND(F328="Ada",F334="Tidak Ada"),"CEK","")))</f>
        <v/>
      </c>
      <c r="K334" s="31" t="str">
        <f>IF(J334="CEK",F328&amp;" Wisata Budaya Lainnya","")</f>
        <v/>
      </c>
      <c r="L334" s="43"/>
      <c r="M334" s="21"/>
      <c r="N334" s="21"/>
      <c r="O334" s="21"/>
      <c r="P334" s="21"/>
      <c r="Q334" s="21"/>
      <c r="R334" s="21"/>
      <c r="S334" s="21"/>
      <c r="T334" s="21"/>
      <c r="U334" s="21"/>
      <c r="V334" s="21"/>
    </row>
    <row r="335" spans="1:22" s="2" customFormat="1" ht="30" customHeight="1" x14ac:dyDescent="0.25">
      <c r="A335" s="542"/>
      <c r="B335" s="242" t="s">
        <v>254</v>
      </c>
      <c r="C335" s="342" t="s">
        <v>662</v>
      </c>
      <c r="D335" s="100">
        <f t="shared" si="21"/>
        <v>779</v>
      </c>
      <c r="E335" s="427" t="s">
        <v>171</v>
      </c>
      <c r="F335" s="694" t="s">
        <v>263</v>
      </c>
      <c r="G335" s="924"/>
      <c r="H335" s="922" t="s">
        <v>725</v>
      </c>
      <c r="I335" s="923"/>
      <c r="J335" s="198" t="str">
        <f>IF(F335="","Belum Terisi",IF(AND(F328="Tidak Ada",F335&lt;&gt;"Tidak Ada"),"CEK",IF(AND(F328="Ada",F335="Tidak Ada"),"CEK",IF(AND(F328="Ada",F333="&lt;500 meter",OR(F335="500-1.000 meter",F335="1.000-1.500 meter",F335="&gt;1.500 meter")),"CEK",""))))</f>
        <v/>
      </c>
      <c r="K335" s="31" t="str">
        <f>IF(AND(J335="CEK",F328="Tidak Ada"),F328&amp;" Wisata Budaya Lainnya",IF(AND(J335="CEK",F333="&lt;500 meter",OR(F335="500-1.000 meter",F335="1.000-1.500 meter",F335="&gt;1.500 meter")),"Panjang Jalan Rusak Melebihi Jarak Menuju Objek Wisata Budaya Lainnya",""))</f>
        <v/>
      </c>
      <c r="L335" s="43"/>
      <c r="M335" s="21"/>
      <c r="N335" s="21"/>
      <c r="O335" s="21"/>
      <c r="P335" s="21"/>
      <c r="Q335" s="21"/>
      <c r="R335" s="21"/>
      <c r="S335" s="21"/>
      <c r="T335" s="21"/>
      <c r="U335" s="21"/>
      <c r="V335" s="21"/>
    </row>
    <row r="336" spans="1:22" s="2" customFormat="1" ht="30" customHeight="1" x14ac:dyDescent="0.25">
      <c r="A336" s="541"/>
      <c r="B336" s="242" t="s">
        <v>256</v>
      </c>
      <c r="C336" s="342" t="s">
        <v>661</v>
      </c>
      <c r="D336" s="100">
        <f t="shared" si="21"/>
        <v>780</v>
      </c>
      <c r="E336" s="427" t="s">
        <v>171</v>
      </c>
      <c r="F336" s="697" t="s">
        <v>263</v>
      </c>
      <c r="G336" s="924"/>
      <c r="H336" s="922" t="s">
        <v>812</v>
      </c>
      <c r="I336" s="923"/>
      <c r="J336" s="198" t="str">
        <f>IF(F336="","Belum Terisi",IF(AND(F328="tidak Ada",F336&lt;&gt;"Tidak Ada"),"CEK",""))</f>
        <v/>
      </c>
      <c r="K336" s="31"/>
      <c r="L336" s="43"/>
      <c r="M336" s="21"/>
      <c r="N336" s="21"/>
      <c r="O336" s="21"/>
      <c r="P336" s="21"/>
      <c r="Q336" s="21"/>
      <c r="R336" s="21"/>
      <c r="S336" s="21"/>
      <c r="T336" s="21"/>
      <c r="U336" s="21"/>
      <c r="V336" s="21"/>
    </row>
    <row r="337" spans="1:22" s="2" customFormat="1" ht="30" customHeight="1" x14ac:dyDescent="0.25">
      <c r="A337" s="559" t="s">
        <v>179</v>
      </c>
      <c r="B337" s="357"/>
      <c r="C337" s="356"/>
      <c r="D337" s="428"/>
      <c r="E337" s="429"/>
      <c r="F337" s="714"/>
      <c r="G337" s="924"/>
      <c r="H337" s="922" t="s">
        <v>566</v>
      </c>
      <c r="I337" s="923"/>
      <c r="J337" s="98"/>
      <c r="K337" s="31"/>
      <c r="L337" s="43"/>
      <c r="M337" s="21"/>
      <c r="N337" s="21"/>
      <c r="O337" s="21"/>
      <c r="P337" s="21"/>
      <c r="Q337" s="21"/>
      <c r="R337" s="21"/>
      <c r="S337" s="21"/>
      <c r="T337" s="21"/>
      <c r="U337" s="21"/>
      <c r="V337" s="21"/>
    </row>
    <row r="338" spans="1:22" s="2" customFormat="1" ht="30" customHeight="1" x14ac:dyDescent="0.25">
      <c r="A338" s="538">
        <f>A328+1</f>
        <v>64</v>
      </c>
      <c r="B338" s="357"/>
      <c r="C338" s="342" t="s">
        <v>178</v>
      </c>
      <c r="D338" s="100">
        <f>D336+1</f>
        <v>781</v>
      </c>
      <c r="E338" s="427" t="s">
        <v>171</v>
      </c>
      <c r="F338" s="699" t="s">
        <v>263</v>
      </c>
      <c r="G338" s="924"/>
      <c r="H338" s="922" t="s">
        <v>556</v>
      </c>
      <c r="I338" s="923"/>
      <c r="J338" s="198" t="str">
        <f>IF(LEN(F338)&gt;0,"","Belum Terisi")</f>
        <v/>
      </c>
      <c r="K338" s="31"/>
      <c r="L338" s="43"/>
      <c r="M338" s="21"/>
      <c r="N338" s="21"/>
      <c r="O338" s="21"/>
      <c r="P338" s="21"/>
      <c r="Q338" s="21"/>
      <c r="R338" s="21"/>
      <c r="S338" s="21"/>
      <c r="T338" s="21"/>
      <c r="U338" s="21"/>
      <c r="V338" s="21"/>
    </row>
    <row r="339" spans="1:22" s="26" customFormat="1" ht="30" customHeight="1" x14ac:dyDescent="0.25">
      <c r="A339" s="649" t="s">
        <v>2465</v>
      </c>
      <c r="B339" s="358"/>
      <c r="C339" s="356"/>
      <c r="D339" s="428"/>
      <c r="E339" s="429"/>
      <c r="F339" s="714"/>
      <c r="G339" s="924"/>
      <c r="H339" s="925"/>
      <c r="I339" s="923"/>
      <c r="J339" s="98"/>
      <c r="K339" s="31"/>
      <c r="L339" s="43"/>
      <c r="M339" s="847"/>
      <c r="N339" s="847"/>
      <c r="O339" s="847"/>
      <c r="P339" s="847"/>
      <c r="Q339" s="847"/>
      <c r="R339" s="847"/>
      <c r="S339" s="847"/>
      <c r="T339" s="847"/>
      <c r="U339" s="847"/>
      <c r="V339" s="847"/>
    </row>
    <row r="340" spans="1:22" s="26" customFormat="1" ht="30" customHeight="1" x14ac:dyDescent="0.25">
      <c r="A340" s="538">
        <f>A338+1</f>
        <v>65</v>
      </c>
      <c r="B340" s="357" t="s">
        <v>41</v>
      </c>
      <c r="C340" s="342" t="s">
        <v>809</v>
      </c>
      <c r="D340" s="100">
        <f t="shared" ref="D340" si="22">D338+1</f>
        <v>782</v>
      </c>
      <c r="E340" s="427" t="s">
        <v>181</v>
      </c>
      <c r="F340" s="693" t="s">
        <v>263</v>
      </c>
      <c r="G340" s="924"/>
      <c r="H340" s="922" t="s">
        <v>563</v>
      </c>
      <c r="I340" s="923"/>
      <c r="J340" s="198" t="str">
        <f>IF(F340="","Belum Terisi",IF(AND($F$338="Tidak Ada",F340="Ada"),"CEK",IF(AND(F338="Ada",COUNTIF($F$340:$F$341,"Tidak Ada")=2),"CEK","")))</f>
        <v/>
      </c>
      <c r="K340" s="31" t="str">
        <f>IF(J340="CEK",F338&amp;" Kawasan Hutan di Desa","")</f>
        <v/>
      </c>
      <c r="L340" s="31"/>
      <c r="M340" s="847"/>
      <c r="N340" s="847"/>
      <c r="O340" s="847"/>
      <c r="P340" s="847"/>
      <c r="Q340" s="847"/>
      <c r="R340" s="847"/>
      <c r="S340" s="847"/>
      <c r="T340" s="847"/>
      <c r="U340" s="847"/>
      <c r="V340" s="847"/>
    </row>
    <row r="341" spans="1:22" s="2" customFormat="1" ht="30" customHeight="1" x14ac:dyDescent="0.25">
      <c r="A341" s="651"/>
      <c r="B341" s="357" t="s">
        <v>139</v>
      </c>
      <c r="C341" s="342" t="s">
        <v>810</v>
      </c>
      <c r="D341" s="100">
        <f t="shared" ref="D341" si="23">D340+1</f>
        <v>783</v>
      </c>
      <c r="E341" s="427" t="s">
        <v>181</v>
      </c>
      <c r="F341" s="697" t="s">
        <v>263</v>
      </c>
      <c r="G341" s="924"/>
      <c r="H341" s="922" t="s">
        <v>564</v>
      </c>
      <c r="I341" s="923"/>
      <c r="J341" s="198" t="str">
        <f>IF(F341="","Belum Terisi",IF(AND($F$338="Tidak Ada",F341="Ada"),"CEK",IF(AND(F338="Ada",COUNTIF($F$340:$F$341,"Tidak Ada")=2),"CEK","")))</f>
        <v/>
      </c>
      <c r="K341" s="31" t="str">
        <f>IF(J341="CEK",F338&amp;" Kawasan Hutan di Desa","")</f>
        <v/>
      </c>
      <c r="L341" s="31"/>
      <c r="M341" s="21"/>
      <c r="N341" s="21"/>
      <c r="O341" s="21"/>
      <c r="P341" s="21"/>
      <c r="Q341" s="21"/>
      <c r="R341" s="21"/>
      <c r="S341" s="21"/>
      <c r="T341" s="21"/>
      <c r="U341" s="21"/>
      <c r="V341" s="21"/>
    </row>
    <row r="342" spans="1:22" s="2" customFormat="1" ht="30" customHeight="1" x14ac:dyDescent="0.25">
      <c r="A342" s="559" t="s">
        <v>145</v>
      </c>
      <c r="B342" s="357"/>
      <c r="C342" s="356"/>
      <c r="D342" s="428"/>
      <c r="E342" s="429"/>
      <c r="F342" s="714"/>
      <c r="G342" s="924"/>
      <c r="H342" s="922" t="s">
        <v>565</v>
      </c>
      <c r="I342" s="923"/>
      <c r="J342" s="98"/>
      <c r="K342" s="31"/>
      <c r="L342" s="43"/>
      <c r="M342" s="21"/>
      <c r="N342" s="21"/>
      <c r="O342" s="21"/>
      <c r="P342" s="21"/>
      <c r="Q342" s="21"/>
      <c r="R342" s="21"/>
      <c r="S342" s="21"/>
      <c r="T342" s="21"/>
      <c r="U342" s="21"/>
      <c r="V342" s="21"/>
    </row>
    <row r="343" spans="1:22" s="2" customFormat="1" ht="30" customHeight="1" x14ac:dyDescent="0.25">
      <c r="A343" s="538">
        <f>A340+1</f>
        <v>66</v>
      </c>
      <c r="B343" s="357"/>
      <c r="C343" s="342" t="s">
        <v>182</v>
      </c>
      <c r="D343" s="100">
        <f t="shared" ref="D343" si="24">D341+1</f>
        <v>784</v>
      </c>
      <c r="E343" s="427" t="s">
        <v>181</v>
      </c>
      <c r="F343" s="699" t="s">
        <v>263</v>
      </c>
      <c r="G343" s="924"/>
      <c r="H343" s="922" t="s">
        <v>167</v>
      </c>
      <c r="I343" s="923"/>
      <c r="J343" s="198" t="str">
        <f>IF(LEN(F343)&gt;0,"","Belum Terisi")</f>
        <v/>
      </c>
      <c r="K343" s="31"/>
      <c r="L343" s="43"/>
      <c r="M343" s="21"/>
      <c r="N343" s="21"/>
      <c r="O343" s="21"/>
      <c r="P343" s="21"/>
      <c r="Q343" s="21"/>
      <c r="R343" s="21"/>
      <c r="S343" s="21"/>
      <c r="T343" s="21"/>
      <c r="U343" s="21"/>
      <c r="V343" s="21"/>
    </row>
    <row r="344" spans="1:22" s="2" customFormat="1" ht="30" customHeight="1" x14ac:dyDescent="0.25">
      <c r="A344" s="559" t="s">
        <v>155</v>
      </c>
      <c r="B344" s="357"/>
      <c r="C344" s="356"/>
      <c r="D344" s="428"/>
      <c r="E344" s="429"/>
      <c r="F344" s="714"/>
      <c r="G344" s="924"/>
      <c r="H344" s="922" t="s">
        <v>566</v>
      </c>
      <c r="I344" s="923"/>
      <c r="J344" s="98"/>
      <c r="K344" s="31"/>
      <c r="L344" s="31"/>
      <c r="M344" s="21"/>
      <c r="N344" s="21"/>
      <c r="O344" s="21"/>
      <c r="P344" s="21"/>
      <c r="Q344" s="21"/>
      <c r="R344" s="21"/>
      <c r="S344" s="21"/>
      <c r="T344" s="21"/>
      <c r="U344" s="21"/>
      <c r="V344" s="21"/>
    </row>
    <row r="345" spans="1:22" s="2" customFormat="1" ht="30" customHeight="1" x14ac:dyDescent="0.25">
      <c r="A345" s="559" t="s">
        <v>183</v>
      </c>
      <c r="B345" s="357"/>
      <c r="C345" s="356"/>
      <c r="D345" s="428"/>
      <c r="E345" s="429"/>
      <c r="F345" s="714"/>
      <c r="G345" s="924"/>
      <c r="H345" s="922" t="s">
        <v>556</v>
      </c>
      <c r="I345" s="923"/>
      <c r="J345" s="98"/>
      <c r="K345" s="31"/>
      <c r="L345" s="43"/>
      <c r="M345" s="21"/>
      <c r="N345" s="21"/>
      <c r="O345" s="21"/>
      <c r="P345" s="21"/>
      <c r="Q345" s="21"/>
      <c r="R345" s="21"/>
      <c r="S345" s="21"/>
      <c r="T345" s="21"/>
      <c r="U345" s="21"/>
      <c r="V345" s="21"/>
    </row>
    <row r="346" spans="1:22" s="2" customFormat="1" ht="30" customHeight="1" x14ac:dyDescent="0.25">
      <c r="A346" s="648">
        <f>A343+1</f>
        <v>67</v>
      </c>
      <c r="B346" s="363"/>
      <c r="C346" s="360" t="s">
        <v>1168</v>
      </c>
      <c r="D346" s="100">
        <f>D343+1</f>
        <v>785</v>
      </c>
      <c r="E346" s="427" t="s">
        <v>171</v>
      </c>
      <c r="F346" s="693" t="s">
        <v>263</v>
      </c>
      <c r="G346" s="924"/>
      <c r="H346" s="922"/>
      <c r="I346" s="923"/>
      <c r="J346" s="198" t="str">
        <f>IF(AND($F$343="tidak ada",F346="ada"),"CEK",IF(F346="","Belum Terisi",""))</f>
        <v/>
      </c>
      <c r="K346" s="31" t="str">
        <f>IF(J346="CEK","Tidak Ada Kawasan Tambang (no. 66)","")</f>
        <v/>
      </c>
      <c r="L346" s="43"/>
      <c r="M346" s="21"/>
      <c r="N346" s="21"/>
      <c r="O346" s="21"/>
      <c r="P346" s="21"/>
      <c r="Q346" s="21"/>
      <c r="R346" s="21"/>
      <c r="S346" s="21"/>
      <c r="T346" s="21"/>
      <c r="U346" s="21"/>
      <c r="V346" s="21"/>
    </row>
    <row r="347" spans="1:22" s="27" customFormat="1" ht="30" customHeight="1" x14ac:dyDescent="0.25">
      <c r="A347" s="542"/>
      <c r="B347" s="242" t="s">
        <v>41</v>
      </c>
      <c r="C347" s="364" t="s">
        <v>1209</v>
      </c>
      <c r="D347" s="100">
        <f t="shared" ref="D347:D410" si="25">D346+1</f>
        <v>786</v>
      </c>
      <c r="E347" s="455" t="s">
        <v>33</v>
      </c>
      <c r="F347" s="749">
        <v>0</v>
      </c>
      <c r="G347" s="924"/>
      <c r="H347" s="922" t="s">
        <v>688</v>
      </c>
      <c r="I347" s="923"/>
      <c r="J347" s="198" t="str">
        <f>IF(AND($F$343="tidak ada",F347&lt;&gt;0),"CEK",IF(AND(F346="tidak ada",F347&lt;&gt;0),"CEK",IF(SUM($F$347,$F$350,$F$353,$F$356,$F$359,$F$363,$F$367,$F$370,$F$373,$F$376,$F$379,$F$383,$F$387,$F$390,$F$393,$F$396,$F$399,$F$402,$F$405,$F$409)&gt;'INPUTAN DESA ....'!$F$118,"CEK",IF(F347="","Belum Terisi",""))))</f>
        <v/>
      </c>
      <c r="K347" s="42" t="str">
        <f>IF(AND(J347="CEK",SUM($F$347,$F$350,$F$353,$F$356,$F$359,$F$363,$F$367,$F$370,$F$373,$F$376,$F$379,$F$383,$F$387,$F$390,$F$393,$F$396,$F$399,$F$402,$F$405,$F$409)&gt;'INPUTAN DESA ....'!$F$118),"Total Seluruh Pekerja Tambang Gol A,B,C Tidak Lebih Besar dari Jumlah Penduduk di Desa",IF(AND(J347="CEK",$F$343="tidak ada",F347&lt;&gt;0),"Tidak Terdapat Kawasan Tambang (no. 66)",IF(AND(J347="CEK",F346="tidak ada",F347&lt;&gt;0),"Tidak Terdapat Tambang Minyak Bumi",IF(AND(J347="CEK",F346="ada",F347&lt;=0),"Terdapat Tambang Minyak Bumi",""))))</f>
        <v/>
      </c>
      <c r="L347" s="44"/>
      <c r="M347" s="853"/>
      <c r="N347" s="853"/>
      <c r="O347" s="853"/>
      <c r="P347" s="853"/>
      <c r="Q347" s="853"/>
      <c r="R347" s="853"/>
      <c r="S347" s="853"/>
      <c r="T347" s="853"/>
      <c r="U347" s="853"/>
      <c r="V347" s="853"/>
    </row>
    <row r="348" spans="1:22" s="2" customFormat="1" ht="30" customHeight="1" x14ac:dyDescent="0.25">
      <c r="A348" s="541"/>
      <c r="B348" s="242" t="s">
        <v>139</v>
      </c>
      <c r="C348" s="342" t="s">
        <v>1227</v>
      </c>
      <c r="D348" s="100">
        <f t="shared" si="25"/>
        <v>787</v>
      </c>
      <c r="E348" s="427" t="s">
        <v>171</v>
      </c>
      <c r="F348" s="697" t="s">
        <v>263</v>
      </c>
      <c r="G348" s="924"/>
      <c r="H348" s="923"/>
      <c r="I348" s="923"/>
      <c r="J348" s="198" t="str">
        <f>IF(F348="","Belum Terisi",IF(AND($F$343="tidak ada",F348&lt;&gt;"Tidak ada"),"CEK",IF(AND(F346="tidak ada",F348&lt;&gt;"tidak ada"),"CEK",IF(AND(F346="ada",F348="tidak ada"),"CEK",IF(F348="","Belum Terisi","")))))</f>
        <v/>
      </c>
      <c r="K348" s="42" t="str">
        <f>IF(AND(J348="CEK",$F$343="Tidak Ada",F348&lt;&gt;"tidak ada"),"Tidak Terdapat Kawasan Tambang di Desa (no.66)",IF(AND(J348="CEK",F346="Tidak Ada",F348&lt;&gt;"Tidak Ada"),"Tidak Ada Tambang Minyak Bumi",IF(AND(J348="CEK",F346="Ada",F348="Tidak Ada"),"Terdapat Tambang Minyak Bumi","")))</f>
        <v/>
      </c>
      <c r="L348" s="44"/>
      <c r="M348" s="21"/>
      <c r="N348" s="21"/>
      <c r="O348" s="21"/>
      <c r="P348" s="21"/>
      <c r="Q348" s="21"/>
      <c r="R348" s="21"/>
      <c r="S348" s="21"/>
      <c r="T348" s="21"/>
      <c r="U348" s="21"/>
      <c r="V348" s="21"/>
    </row>
    <row r="349" spans="1:22" s="2" customFormat="1" ht="30" customHeight="1" x14ac:dyDescent="0.25">
      <c r="A349" s="648">
        <f>A346+1</f>
        <v>68</v>
      </c>
      <c r="B349" s="363"/>
      <c r="C349" s="360" t="s">
        <v>1169</v>
      </c>
      <c r="D349" s="100">
        <f t="shared" si="25"/>
        <v>788</v>
      </c>
      <c r="E349" s="427" t="s">
        <v>171</v>
      </c>
      <c r="F349" s="693" t="s">
        <v>263</v>
      </c>
      <c r="G349" s="924"/>
      <c r="H349" s="922"/>
      <c r="I349" s="923"/>
      <c r="J349" s="198" t="str">
        <f>IF(AND($F$343="tidak ada",F349="ada"),"CEK",IF(F349="","Belum Terisi",""))</f>
        <v/>
      </c>
      <c r="K349" s="31" t="str">
        <f>IF(J349="CEK","Tidak Ada Kawasan Tambang (no. 66)","")</f>
        <v/>
      </c>
      <c r="L349" s="31"/>
      <c r="M349" s="21"/>
      <c r="N349" s="21"/>
      <c r="O349" s="21"/>
      <c r="P349" s="21"/>
      <c r="Q349" s="21"/>
      <c r="R349" s="21"/>
      <c r="S349" s="21"/>
      <c r="T349" s="21"/>
      <c r="U349" s="21"/>
      <c r="V349" s="21"/>
    </row>
    <row r="350" spans="1:22" s="27" customFormat="1" ht="30" customHeight="1" x14ac:dyDescent="0.25">
      <c r="A350" s="542"/>
      <c r="B350" s="242" t="s">
        <v>41</v>
      </c>
      <c r="C350" s="364" t="s">
        <v>1210</v>
      </c>
      <c r="D350" s="100">
        <f t="shared" si="25"/>
        <v>789</v>
      </c>
      <c r="E350" s="455" t="s">
        <v>33</v>
      </c>
      <c r="F350" s="749">
        <v>0</v>
      </c>
      <c r="G350" s="924"/>
      <c r="H350" s="922" t="s">
        <v>688</v>
      </c>
      <c r="I350" s="923"/>
      <c r="J350" s="198" t="str">
        <f>IF(AND($F$343="tidak ada",F350&lt;&gt;0),"CEK",IF(AND(F349="tidak ada",F350&lt;&gt;0),"CEK",IF(SUM($F$347,$F$350,$F$353,$F$356,$F$359,$F$363,$F$367,$F$370,$F$373,$F$376,$F$379,$F$383,$F$387,$F$390,$F$393,$F$396,$F$399,$F$402,$F$405,$F$409)&gt;'INPUTAN DESA ....'!$F$118,"CEK",IF(F350="","Belum Terisi",""))))</f>
        <v/>
      </c>
      <c r="K350" s="42" t="str">
        <f>IF(AND(J350="CEK",SUM($F$347,$F$350,$F$353,$F$356,$F$359,$F$363,$F$367,$F$370,$F$373,$F$376,$F$379,$F$383,$F$387,$F$390,$F$393,$F$396,$F$399,$F$402,$F$405,$F$409)&gt;'INPUTAN DESA ....'!$F$118),"Total Seluruh Pekerja Tambang Gol A,B,C Tidak Lebih Besar dari Jumlah Penduduk di Desa",IF(AND(J350="CEK",$F$343="tidak ada",F350&lt;&gt;0),"Tidak Terdapat Kawasan Tambang (no. 66)",IF(AND(J350="CEK",F349="tidak ada",F350&lt;&gt;0),"Tidak Terdapat Tambang Gas Alam",IF(AND(J350="CEK",F349="ada",F350&lt;=0),"Terdapat Tambang Gas Alam",""))))</f>
        <v/>
      </c>
      <c r="L350" s="44"/>
      <c r="M350" s="853"/>
      <c r="N350" s="853"/>
      <c r="O350" s="853"/>
      <c r="P350" s="853"/>
      <c r="Q350" s="853"/>
      <c r="R350" s="853"/>
      <c r="S350" s="853"/>
      <c r="T350" s="853"/>
      <c r="U350" s="853"/>
      <c r="V350" s="853"/>
    </row>
    <row r="351" spans="1:22" s="2" customFormat="1" ht="30" customHeight="1" x14ac:dyDescent="0.25">
      <c r="A351" s="541"/>
      <c r="B351" s="242" t="s">
        <v>139</v>
      </c>
      <c r="C351" s="342" t="s">
        <v>1228</v>
      </c>
      <c r="D351" s="100">
        <f t="shared" si="25"/>
        <v>790</v>
      </c>
      <c r="E351" s="427" t="s">
        <v>171</v>
      </c>
      <c r="F351" s="697" t="s">
        <v>263</v>
      </c>
      <c r="G351" s="924"/>
      <c r="H351" s="922"/>
      <c r="I351" s="923"/>
      <c r="J351" s="198" t="str">
        <f>IF(F351="","Belum Terisi",IF(AND($F$343="tidak ada",F351&lt;&gt;"Tidak ada"),"CEK",IF(AND(F349="tidak ada",F351&lt;&gt;"tidak ada"),"CEK",IF(AND(F349="ada",F351="tidak ada"),"CEK",IF(F351="","Belum Terisi","")))))</f>
        <v/>
      </c>
      <c r="K351" s="42" t="str">
        <f>IF(AND(J351="CEK",$F$343="Tidak Ada",F351&lt;&gt;"tidak ada"),"Tidak Terdapat Kawasan Tambang di Desa (no.66)",IF(AND(J351="CEK",F349="Tidak Ada",F351&lt;&gt;"Tidak Ada"),"Tidak Ada Tambang Gas Alam",IF(AND(J351="CEK",F349="Ada",F351="Tidak Ada"),"Terdapat Tambang Gas Alam","")))</f>
        <v/>
      </c>
      <c r="L351" s="44"/>
      <c r="M351" s="21"/>
      <c r="N351" s="21"/>
      <c r="O351" s="21"/>
      <c r="P351" s="21"/>
      <c r="Q351" s="21"/>
      <c r="R351" s="21"/>
      <c r="S351" s="21"/>
      <c r="T351" s="21"/>
      <c r="U351" s="21"/>
      <c r="V351" s="21"/>
    </row>
    <row r="352" spans="1:22" s="2" customFormat="1" ht="30" customHeight="1" x14ac:dyDescent="0.25">
      <c r="A352" s="648">
        <f>A349+1</f>
        <v>69</v>
      </c>
      <c r="B352" s="363"/>
      <c r="C352" s="360" t="s">
        <v>1170</v>
      </c>
      <c r="D352" s="100">
        <f t="shared" si="25"/>
        <v>791</v>
      </c>
      <c r="E352" s="427" t="s">
        <v>171</v>
      </c>
      <c r="F352" s="693" t="s">
        <v>263</v>
      </c>
      <c r="G352" s="924"/>
      <c r="H352" s="922"/>
      <c r="I352" s="923"/>
      <c r="J352" s="198" t="str">
        <f>IF(AND($F$343="tidak ada",F352="ada"),"CEK",IF(F352="","Belum Terisi",""))</f>
        <v/>
      </c>
      <c r="K352" s="31" t="str">
        <f>IF(J352="CEK","Tidak Ada Kawasan Tambang (no. 66)","")</f>
        <v/>
      </c>
      <c r="L352" s="43"/>
      <c r="M352" s="21"/>
      <c r="N352" s="21"/>
      <c r="O352" s="21"/>
      <c r="P352" s="21"/>
      <c r="Q352" s="21"/>
      <c r="R352" s="21"/>
      <c r="S352" s="21"/>
      <c r="T352" s="21"/>
      <c r="U352" s="21"/>
      <c r="V352" s="21"/>
    </row>
    <row r="353" spans="1:22" s="27" customFormat="1" ht="30" customHeight="1" x14ac:dyDescent="0.25">
      <c r="A353" s="542"/>
      <c r="B353" s="242" t="s">
        <v>41</v>
      </c>
      <c r="C353" s="364" t="s">
        <v>1211</v>
      </c>
      <c r="D353" s="100">
        <f t="shared" si="25"/>
        <v>792</v>
      </c>
      <c r="E353" s="455" t="s">
        <v>33</v>
      </c>
      <c r="F353" s="749">
        <v>0</v>
      </c>
      <c r="G353" s="924"/>
      <c r="H353" s="922" t="s">
        <v>688</v>
      </c>
      <c r="I353" s="923"/>
      <c r="J353" s="198" t="str">
        <f>IF(AND($F$343="tidak ada",F353&lt;&gt;0),"CEK",IF(AND(F352="tidak ada",F353&lt;&gt;0),"CEK",IF(SUM($F$347,$F$350,$F$353,$F$356,$F$359,$F$363,$F$367,$F$370,$F$373,$F$376,$F$379,$F$383,$F$387,$F$390,$F$393,$F$396,$F$399,$F$402,$F$405,$F$409)&gt;'INPUTAN DESA ....'!$F$118,"CEK",IF(F353="","Belum Terisi",""))))</f>
        <v/>
      </c>
      <c r="K353" s="42" t="str">
        <f>IF(AND(J353="CEK",SUM($F$347,$F$350,$F$353,$F$356,$F$359,$F$363,$F$367,$F$370,$F$373,$F$376,$F$379,$F$383,$F$387,$F$390,$F$393,$F$396,$F$399,$F$402,$F$405,$F$409)&gt;'INPUTAN DESA ....'!$F$118),"Total Seluruh Pekerja Tambang Gol A,B,C Tidak Lebih Besar dari Jumlah Penduduk di Desa",IF(AND(J353="CEK",$F$343="tidak ada",F353&lt;&gt;0),"Tidak Terdapat Kawasan Tambang (no. 66)",IF(AND(J353="CEK",F352="tidak ada",F353&lt;&gt;0),"Tidak Terdapat Tambang Aspal",IF(AND(J353="CEK",F352="ada",F353&lt;=0),"Terdapat Tambang Aspal",""))))</f>
        <v/>
      </c>
      <c r="L353" s="44"/>
      <c r="M353" s="853"/>
      <c r="N353" s="853"/>
      <c r="O353" s="853"/>
      <c r="P353" s="853"/>
      <c r="Q353" s="853"/>
      <c r="R353" s="853"/>
      <c r="S353" s="853"/>
      <c r="T353" s="853"/>
      <c r="U353" s="853"/>
      <c r="V353" s="853"/>
    </row>
    <row r="354" spans="1:22" s="2" customFormat="1" ht="30" customHeight="1" x14ac:dyDescent="0.25">
      <c r="A354" s="541"/>
      <c r="B354" s="242" t="s">
        <v>139</v>
      </c>
      <c r="C354" s="342" t="s">
        <v>1229</v>
      </c>
      <c r="D354" s="100">
        <f t="shared" si="25"/>
        <v>793</v>
      </c>
      <c r="E354" s="427" t="s">
        <v>171</v>
      </c>
      <c r="F354" s="697" t="s">
        <v>263</v>
      </c>
      <c r="G354" s="924"/>
      <c r="H354" s="922"/>
      <c r="I354" s="923"/>
      <c r="J354" s="198" t="str">
        <f>IF(F354="","Belum Terisi",IF(AND($F$343="tidak ada",F354&lt;&gt;"Tidak ada"),"CEK",IF(AND(F352="tidak ada",F354&lt;&gt;"tidak ada"),"CEK",IF(AND(F352="ada",F354="tidak ada"),"CEK",IF(F354="","Belum Terisi","")))))</f>
        <v/>
      </c>
      <c r="K354" s="42" t="str">
        <f>IF(AND(J354="CEK",$F$343="Tidak Ada",F354&lt;&gt;"tidak ada"),"Tidak Terdapat Kawasan Tambang di Desa (no.66)",IF(AND(J354="CEK",F352="Tidak Ada",F354&lt;&gt;"Tidak Ada"),"Tidak Ada Tambang Aspal",IF(AND(J354="CEK",F352="Ada",F354="Tidak Ada"),"Terdapat Tambang Aspal","")))</f>
        <v/>
      </c>
      <c r="L354" s="44"/>
      <c r="M354" s="21"/>
      <c r="N354" s="21"/>
      <c r="O354" s="21"/>
      <c r="P354" s="21"/>
      <c r="Q354" s="21"/>
      <c r="R354" s="21"/>
      <c r="S354" s="21"/>
      <c r="T354" s="21"/>
      <c r="U354" s="21"/>
      <c r="V354" s="21"/>
    </row>
    <row r="355" spans="1:22" s="2" customFormat="1" ht="30" customHeight="1" x14ac:dyDescent="0.25">
      <c r="A355" s="648">
        <f>A352+1</f>
        <v>70</v>
      </c>
      <c r="B355" s="363"/>
      <c r="C355" s="360" t="s">
        <v>1171</v>
      </c>
      <c r="D355" s="100">
        <f t="shared" si="25"/>
        <v>794</v>
      </c>
      <c r="E355" s="427" t="s">
        <v>171</v>
      </c>
      <c r="F355" s="693" t="s">
        <v>263</v>
      </c>
      <c r="G355" s="924"/>
      <c r="H355" s="922"/>
      <c r="I355" s="923"/>
      <c r="J355" s="198" t="str">
        <f>IF(AND($F$343="tidak ada",F355="ada"),"CEK",IF(F355="","Belum Terisi",""))</f>
        <v/>
      </c>
      <c r="K355" s="31" t="str">
        <f>IF(J355="CEK","Tidak Ada Kawasan Tambang (no. 66)","")</f>
        <v/>
      </c>
      <c r="L355" s="31"/>
      <c r="M355" s="21"/>
      <c r="N355" s="21"/>
      <c r="O355" s="21"/>
      <c r="P355" s="21"/>
      <c r="Q355" s="21"/>
      <c r="R355" s="21"/>
      <c r="S355" s="21"/>
      <c r="T355" s="21"/>
      <c r="U355" s="21"/>
      <c r="V355" s="21"/>
    </row>
    <row r="356" spans="1:22" s="27" customFormat="1" ht="30" customHeight="1" x14ac:dyDescent="0.25">
      <c r="A356" s="542"/>
      <c r="B356" s="242" t="s">
        <v>41</v>
      </c>
      <c r="C356" s="364" t="s">
        <v>1212</v>
      </c>
      <c r="D356" s="100">
        <f t="shared" si="25"/>
        <v>795</v>
      </c>
      <c r="E356" s="455" t="s">
        <v>33</v>
      </c>
      <c r="F356" s="749">
        <v>0</v>
      </c>
      <c r="G356" s="924"/>
      <c r="H356" s="928" t="s">
        <v>688</v>
      </c>
      <c r="I356" s="923"/>
      <c r="J356" s="198" t="str">
        <f>IF(AND($F$343="tidak ada",F356&lt;&gt;0),"CEK",IF(AND(F355="tidak ada",F356&lt;&gt;0),"CEK",IF(SUM($F$347,$F$350,$F$353,$F$356,$F$359,$F$363,$F$367,$F$370,$F$373,$F$376,$F$379,$F$383,$F$387,$F$390,$F$393,$F$396,$F$399,$F$402,$F$405,$F$409)&gt;'INPUTAN DESA ....'!$F$118,"CEK",IF(F356="","Belum Terisi",""))))</f>
        <v/>
      </c>
      <c r="K356" s="42" t="str">
        <f>IF(AND(J356="CEK",SUM($F$347,$F$350,$F$353,$F$356,$F$359,$F$363,$F$367,$F$370,$F$373,$F$376,$F$379,$F$383,$F$387,$F$390,$F$393,$F$396,$F$399,$F$402,$F$405,$F$409)&gt;'INPUTAN DESA ....'!$F$118),"Total Seluruh Pekerja Tambang Gol A,B,C Tidak Lebih Besar dari Jumlah Penduduk di Desa",IF(AND(J356="CEK",$F$343="tidak ada",F356&lt;&gt;0),"Tidak Terdapat Kawasan Tambang (no. 66)",IF(AND(J356="CEK",F355="tidak ada",F356&lt;&gt;0),"Tidak Terdapat Tambang Batu Bara",IF(AND(J356="CEK",F355="ada",F356&lt;=0),"Terdapat Tambang Batu Bara",""))))</f>
        <v/>
      </c>
      <c r="L356" s="44"/>
      <c r="M356" s="853"/>
      <c r="N356" s="853"/>
      <c r="O356" s="853"/>
      <c r="P356" s="853"/>
      <c r="Q356" s="853"/>
      <c r="R356" s="853"/>
      <c r="S356" s="853"/>
      <c r="T356" s="853"/>
      <c r="U356" s="853"/>
      <c r="V356" s="853"/>
    </row>
    <row r="357" spans="1:22" s="2" customFormat="1" ht="30" customHeight="1" x14ac:dyDescent="0.25">
      <c r="A357" s="541"/>
      <c r="B357" s="242" t="s">
        <v>139</v>
      </c>
      <c r="C357" s="342" t="s">
        <v>1230</v>
      </c>
      <c r="D357" s="100">
        <f t="shared" si="25"/>
        <v>796</v>
      </c>
      <c r="E357" s="427" t="s">
        <v>171</v>
      </c>
      <c r="F357" s="697" t="s">
        <v>263</v>
      </c>
      <c r="G357" s="924"/>
      <c r="H357" s="922"/>
      <c r="I357" s="923"/>
      <c r="J357" s="198" t="str">
        <f>IF(F357="","Belum Terisi",IF(AND($F$343="tidak ada",F357&lt;&gt;"Tidak ada"),"CEK",IF(AND(F355="tidak ada",F357&lt;&gt;"tidak ada"),"CEK",IF(AND(F355="ada",F357="tidak ada"),"CEK",IF(F357="","Belum Terisi","")))))</f>
        <v/>
      </c>
      <c r="K357" s="42" t="str">
        <f>IF(AND(J357="CEK",$F$343="Tidak Ada",F357&lt;&gt;"tidak ada"),"Tidak Terdapat Kawasan Tambang di Desa (no.66)",IF(AND(J357="CEK",F355="Tidak Ada",F357&lt;&gt;"Tidak Ada"),"Tidak Ada Tambang Batu Bara",IF(AND(J357="CEK",F355="Ada",F357="Tidak Ada"),"Terdapat Tambang Batu Bara","")))</f>
        <v/>
      </c>
      <c r="L357" s="44"/>
      <c r="M357" s="21"/>
      <c r="N357" s="21"/>
      <c r="O357" s="21"/>
      <c r="P357" s="21"/>
      <c r="Q357" s="21"/>
      <c r="R357" s="21"/>
      <c r="S357" s="21"/>
      <c r="T357" s="21"/>
      <c r="U357" s="21"/>
      <c r="V357" s="21"/>
    </row>
    <row r="358" spans="1:22" s="2" customFormat="1" ht="30" customHeight="1" x14ac:dyDescent="0.25">
      <c r="A358" s="648">
        <f>A355+1</f>
        <v>71</v>
      </c>
      <c r="B358" s="363"/>
      <c r="C358" s="360" t="s">
        <v>1172</v>
      </c>
      <c r="D358" s="100">
        <f t="shared" si="25"/>
        <v>797</v>
      </c>
      <c r="E358" s="427" t="s">
        <v>171</v>
      </c>
      <c r="F358" s="693" t="s">
        <v>263</v>
      </c>
      <c r="G358" s="924"/>
      <c r="H358" s="922"/>
      <c r="I358" s="923"/>
      <c r="J358" s="198" t="str">
        <f>IF(AND($F$343="tidak ada",F358="ada"),"CEK",IF(F358="","Belum Terisi",""))</f>
        <v/>
      </c>
      <c r="K358" s="31" t="str">
        <f>IF(J358="CEK","Tidak Ada Kawasan Tambang (no. 66)","")</f>
        <v/>
      </c>
      <c r="L358" s="43"/>
      <c r="M358" s="21"/>
      <c r="N358" s="21"/>
      <c r="O358" s="21"/>
      <c r="P358" s="21"/>
      <c r="Q358" s="21"/>
      <c r="R358" s="21"/>
      <c r="S358" s="21"/>
      <c r="T358" s="21"/>
      <c r="U358" s="21"/>
      <c r="V358" s="21"/>
    </row>
    <row r="359" spans="1:22" s="18" customFormat="1" ht="30" customHeight="1" x14ac:dyDescent="0.25">
      <c r="A359" s="542"/>
      <c r="B359" s="242" t="s">
        <v>41</v>
      </c>
      <c r="C359" s="365" t="s">
        <v>1213</v>
      </c>
      <c r="D359" s="100">
        <f t="shared" si="25"/>
        <v>798</v>
      </c>
      <c r="E359" s="505" t="s">
        <v>33</v>
      </c>
      <c r="F359" s="816">
        <v>0</v>
      </c>
      <c r="G359" s="924"/>
      <c r="H359" s="922" t="s">
        <v>688</v>
      </c>
      <c r="I359" s="923"/>
      <c r="J359" s="198" t="str">
        <f>IF(AND($F$343="tidak ada",F359&lt;&gt;0),"CEK",IF(AND(F358="tidak ada",F359&lt;&gt;0),"CEK",IF(SUM($F$347,$F$350,$F$353,$F$356,$F$359,$F$363,$F$367,$F$370,$F$373,$F$376,$F$379,$F$383,$F$387,$F$390,$F$393,$F$396,$F$399,$F$402,$F$405,$F$409)&gt;'INPUTAN DESA ....'!$F$118,"CEK",IF(F359="","Belum Terisi",""))))</f>
        <v/>
      </c>
      <c r="K359" s="42" t="str">
        <f>IF(AND(J359="CEK",SUM($F$347,$F$350,$F$353,$F$356,$F$359,$F$363,$F$367,$F$370,$F$373,$F$376,$F$379,$F$383,$F$387,$F$390,$F$393,$F$396,$F$399,$F$402,$F$405,$F$409)&gt;'INPUTAN DESA ....'!$F$118),"Total Seluruh Pekerja Tambang Gol A,B,C Tidak Lebih Besar dari Jumlah Penduduk di Desa",IF(AND(J359="CEK",$F$343="tidak ada",F359&lt;&gt;0),"Tidak Terdapat Kawasan Tambang (no. 66)",IF(AND(J359="CEK",F358="tidak ada",F359&lt;&gt;0),"Tidak Terdapat Tambang Nikel",IF(AND(J359="CEK",F358="ada",F359&lt;=0),"Terdapat Tambang Nikel",""))))</f>
        <v/>
      </c>
      <c r="L359" s="44"/>
      <c r="M359" s="854"/>
      <c r="N359" s="854"/>
      <c r="O359" s="854"/>
      <c r="P359" s="854"/>
      <c r="Q359" s="854"/>
      <c r="R359" s="854"/>
      <c r="S359" s="854"/>
      <c r="T359" s="854"/>
      <c r="U359" s="854"/>
      <c r="V359" s="854"/>
    </row>
    <row r="360" spans="1:22" s="2" customFormat="1" ht="30" customHeight="1" x14ac:dyDescent="0.25">
      <c r="A360" s="541"/>
      <c r="B360" s="242" t="s">
        <v>139</v>
      </c>
      <c r="C360" s="342" t="s">
        <v>1231</v>
      </c>
      <c r="D360" s="100">
        <f t="shared" si="25"/>
        <v>799</v>
      </c>
      <c r="E360" s="427" t="s">
        <v>171</v>
      </c>
      <c r="F360" s="697" t="s">
        <v>263</v>
      </c>
      <c r="G360" s="924"/>
      <c r="H360" s="922"/>
      <c r="I360" s="923"/>
      <c r="J360" s="198" t="str">
        <f>IF(F360="","Belum Terisi",IF(AND($F$343="tidak ada",F360&lt;&gt;"Tidak ada"),"CEK",IF(AND(F358="tidak ada",F360&lt;&gt;"tidak ada"),"CEK",IF(AND(F358="ada",F360="tidak ada"),"CEK",IF(F360="","Belum Terisi","")))))</f>
        <v/>
      </c>
      <c r="K360" s="42" t="str">
        <f>IF(AND(J360="CEK",$F$343="Tidak Ada",F360&lt;&gt;"tidak ada"),"Tidak Terdapat Kawasan Tambang di Desa (no.66)",IF(AND(J360="CEK",F358="Tidak Ada",F360&lt;&gt;"Tidak Ada"),"Tidak Ada Tambang Nikel",IF(AND(J360="CEK",F358="Ada",F360="Tidak Ada"),"Terdapat Tambang Nikel","")))</f>
        <v/>
      </c>
      <c r="L360" s="44"/>
      <c r="M360" s="21"/>
      <c r="N360" s="21"/>
      <c r="O360" s="21"/>
      <c r="P360" s="21"/>
      <c r="Q360" s="21"/>
      <c r="R360" s="21"/>
      <c r="S360" s="21"/>
      <c r="T360" s="21"/>
      <c r="U360" s="21"/>
      <c r="V360" s="21"/>
    </row>
    <row r="361" spans="1:22" s="2" customFormat="1" ht="30" customHeight="1" x14ac:dyDescent="0.25">
      <c r="A361" s="648">
        <f>A358+1</f>
        <v>72</v>
      </c>
      <c r="B361" s="363"/>
      <c r="C361" s="360" t="s">
        <v>2473</v>
      </c>
      <c r="D361" s="100">
        <f t="shared" si="25"/>
        <v>800</v>
      </c>
      <c r="E361" s="427" t="s">
        <v>171</v>
      </c>
      <c r="F361" s="693" t="s">
        <v>263</v>
      </c>
      <c r="G361" s="924"/>
      <c r="H361" s="922"/>
      <c r="I361" s="923"/>
      <c r="J361" s="198" t="str">
        <f>IF(AND($F$343="tidak ada",F361="ada"),"CEK",IF(F361="","Belum Terisi",""))</f>
        <v/>
      </c>
      <c r="K361" s="31" t="str">
        <f>IF(J361="CEK","Tidak Ada Kawasan Tambang (no. 66)","")</f>
        <v/>
      </c>
      <c r="L361" s="31"/>
      <c r="M361" s="21"/>
      <c r="N361" s="21"/>
      <c r="O361" s="21"/>
      <c r="P361" s="21"/>
      <c r="Q361" s="21"/>
      <c r="R361" s="21"/>
      <c r="S361" s="21"/>
      <c r="T361" s="21"/>
      <c r="U361" s="21"/>
      <c r="V361" s="21"/>
    </row>
    <row r="362" spans="1:22" s="18" customFormat="1" ht="30" customHeight="1" x14ac:dyDescent="0.25">
      <c r="A362" s="542"/>
      <c r="B362" s="242" t="s">
        <v>41</v>
      </c>
      <c r="C362" s="365" t="s">
        <v>1196</v>
      </c>
      <c r="D362" s="100">
        <f t="shared" si="25"/>
        <v>801</v>
      </c>
      <c r="E362" s="505" t="s">
        <v>174</v>
      </c>
      <c r="F362" s="768" t="s">
        <v>240</v>
      </c>
      <c r="G362" s="924"/>
      <c r="H362" s="922"/>
      <c r="I362" s="923"/>
      <c r="J362" s="198" t="str">
        <f>IF(F362="","Belum Terisi",IF(AND($F$343="tidak ada",F361&lt;&gt;"Tidak ada"),"CEK",IF(AND(F361="tidak ada",F362&lt;&gt;"-"),"CEK",IF(AND(F361="ada",F362="-"),"CEK",""))))</f>
        <v/>
      </c>
      <c r="K362" s="42" t="str">
        <f>IF(J362="CEK",F361&amp;" Tambang Gol A Lainnya","")</f>
        <v/>
      </c>
      <c r="L362" s="44"/>
      <c r="M362" s="854"/>
      <c r="N362" s="854"/>
      <c r="O362" s="854"/>
      <c r="P362" s="854"/>
      <c r="Q362" s="854"/>
      <c r="R362" s="854"/>
      <c r="S362" s="854"/>
      <c r="T362" s="854"/>
      <c r="U362" s="854"/>
      <c r="V362" s="854"/>
    </row>
    <row r="363" spans="1:22" s="2" customFormat="1" ht="30" customHeight="1" x14ac:dyDescent="0.25">
      <c r="A363" s="542"/>
      <c r="B363" s="242" t="s">
        <v>139</v>
      </c>
      <c r="C363" s="342" t="s">
        <v>1232</v>
      </c>
      <c r="D363" s="100">
        <f t="shared" si="25"/>
        <v>802</v>
      </c>
      <c r="E363" s="427" t="s">
        <v>33</v>
      </c>
      <c r="F363" s="716">
        <v>0</v>
      </c>
      <c r="G363" s="924"/>
      <c r="H363" s="922" t="s">
        <v>688</v>
      </c>
      <c r="I363" s="923"/>
      <c r="J363" s="198" t="str">
        <f>IF(AND($F$343="tidak ada",F363&lt;&gt;0),"CEK",IF(AND(F362="tidak ada",F363&lt;&gt;0),"CEK",IF(SUM($F$347,$F$350,$F$353,$F$356,$F$359,$F$363,$F$367,$F$370,$F$373,$F$376,$F$379,$F$383,$F$387,$F$390,$F$393,$F$396,$F$399,$F$402,$F$405,$F$409)&gt;'INPUTAN DESA ....'!$F$118,"CEK",IF(F363="","Belum Terisi",""))))</f>
        <v/>
      </c>
      <c r="K363" s="42" t="str">
        <f>IF(AND(J363="CEK",SUM($F$347,$F$350,$F$353,$F$356,$F$359,$F$363,$F$367,$F$370,$F$373,$F$376,$F$379,$F$383,$F$387,$F$390,$F$393,$F$396,$F$399,$F$402,$F$405,$F$409)&gt;'INPUTAN DESA ....'!$F$118),"Total Seluruh Pekerja Tambang Gol A,B,C Tidak Lebih Besar dari Jumlah Penduduk di Desa",IF(AND(J363="CEK",$F$343="tidak ada",F363&lt;&gt;0),"Tidak Terdapat Kawasan Tambang (no. 66)",IF(AND(J363="CEK",F362="tidak ada",F363&lt;&gt;0),"Tidak Terdapat Tambang Gol A Lainnya",IF(AND(J363="CEK",F362="ada",F363&lt;=0),"Terdapat Tambang Gol A Lainnya",""))))</f>
        <v/>
      </c>
      <c r="L363" s="44"/>
      <c r="M363" s="21"/>
      <c r="N363" s="21"/>
      <c r="O363" s="21"/>
      <c r="P363" s="21"/>
      <c r="Q363" s="21"/>
      <c r="R363" s="21"/>
      <c r="S363" s="21"/>
      <c r="T363" s="21"/>
      <c r="U363" s="21"/>
      <c r="V363" s="21"/>
    </row>
    <row r="364" spans="1:22" s="18" customFormat="1" ht="30" customHeight="1" x14ac:dyDescent="0.25">
      <c r="A364" s="541"/>
      <c r="B364" s="242" t="s">
        <v>251</v>
      </c>
      <c r="C364" s="365" t="s">
        <v>1253</v>
      </c>
      <c r="D364" s="100">
        <f t="shared" si="25"/>
        <v>803</v>
      </c>
      <c r="E364" s="505" t="s">
        <v>171</v>
      </c>
      <c r="F364" s="769" t="s">
        <v>263</v>
      </c>
      <c r="G364" s="924"/>
      <c r="H364" s="922"/>
      <c r="I364" s="923"/>
      <c r="J364" s="198" t="str">
        <f>IF(F364="","Belum Terisi",IF(AND($F$343="tidak ada",F364&lt;&gt;"Tidak ada"),"CEK",IF(AND(F362="tidak ada",F364&lt;&gt;"tidak ada"),"CEK",IF(AND(F362="ada",F364="tidak ada"),"CEK",IF(F364="","Belum Terisi","")))))</f>
        <v/>
      </c>
      <c r="K364" s="42" t="str">
        <f>IF(AND(J364="CEK",$F$343="Tidak Ada",F364&lt;&gt;"tidak ada"),"Tidak Terdapat Kawasan Tambang di Desa (no.66)",IF(AND(J364="CEK",F362="Tidak Ada",F364&lt;&gt;"Tidak Ada"),"Tidak Ada Tambang Gol A Lainnya",IF(AND(J364="CEK",F362="Ada",F364="Tidak Ada"),"Terdapat Tambang Gol A Lainnya","")))</f>
        <v/>
      </c>
      <c r="L364" s="44"/>
      <c r="M364" s="854"/>
      <c r="N364" s="854"/>
      <c r="O364" s="854"/>
      <c r="P364" s="854"/>
      <c r="Q364" s="854"/>
      <c r="R364" s="854"/>
      <c r="S364" s="854"/>
      <c r="T364" s="854"/>
      <c r="U364" s="854"/>
      <c r="V364" s="854"/>
    </row>
    <row r="365" spans="1:22" s="2" customFormat="1" ht="30" customHeight="1" x14ac:dyDescent="0.25">
      <c r="A365" s="538"/>
      <c r="B365" s="357"/>
      <c r="C365" s="356" t="s">
        <v>185</v>
      </c>
      <c r="D365" s="428"/>
      <c r="E365" s="429"/>
      <c r="F365" s="714"/>
      <c r="G365" s="924"/>
      <c r="H365" s="922"/>
      <c r="I365" s="923"/>
      <c r="J365" s="98"/>
      <c r="K365" s="31"/>
      <c r="L365" s="43"/>
      <c r="M365" s="21"/>
      <c r="N365" s="21"/>
      <c r="O365" s="21"/>
      <c r="P365" s="21"/>
      <c r="Q365" s="21"/>
      <c r="R365" s="21"/>
      <c r="S365" s="21"/>
      <c r="T365" s="21"/>
      <c r="U365" s="21"/>
      <c r="V365" s="21"/>
    </row>
    <row r="366" spans="1:22" s="2" customFormat="1" ht="30" customHeight="1" x14ac:dyDescent="0.25">
      <c r="A366" s="648">
        <f>A361+1</f>
        <v>73</v>
      </c>
      <c r="B366" s="363"/>
      <c r="C366" s="360" t="s">
        <v>1173</v>
      </c>
      <c r="D366" s="100">
        <f>D364+1</f>
        <v>804</v>
      </c>
      <c r="E366" s="427" t="s">
        <v>171</v>
      </c>
      <c r="F366" s="693" t="s">
        <v>263</v>
      </c>
      <c r="G366" s="924"/>
      <c r="H366" s="922"/>
      <c r="I366" s="923"/>
      <c r="J366" s="198" t="str">
        <f>IF(AND($F$343="tidak ada",F366="ada"),"CEK",IF(F366="","Belum Terisi",""))</f>
        <v/>
      </c>
      <c r="K366" s="31" t="str">
        <f>IF(J366="CEK","Tidak Ada Kawasan Tambang (no. 66)","")</f>
        <v/>
      </c>
      <c r="L366" s="31"/>
      <c r="M366" s="21"/>
      <c r="N366" s="21"/>
      <c r="O366" s="21"/>
      <c r="P366" s="21"/>
      <c r="Q366" s="21"/>
      <c r="R366" s="21"/>
      <c r="S366" s="21"/>
      <c r="T366" s="21"/>
      <c r="U366" s="21"/>
      <c r="V366" s="21"/>
    </row>
    <row r="367" spans="1:22" s="27" customFormat="1" ht="30" customHeight="1" x14ac:dyDescent="0.25">
      <c r="A367" s="542"/>
      <c r="B367" s="242" t="s">
        <v>41</v>
      </c>
      <c r="C367" s="364" t="s">
        <v>1214</v>
      </c>
      <c r="D367" s="100">
        <f t="shared" si="25"/>
        <v>805</v>
      </c>
      <c r="E367" s="455" t="s">
        <v>33</v>
      </c>
      <c r="F367" s="749">
        <v>0</v>
      </c>
      <c r="G367" s="924"/>
      <c r="H367" s="922" t="s">
        <v>688</v>
      </c>
      <c r="I367" s="923"/>
      <c r="J367" s="198" t="str">
        <f>IF(AND($F$343="tidak ada",F367&lt;&gt;0),"CEK",IF(AND(F366="tidak ada",F367&lt;&gt;0),"CEK",IF(SUM($F$347,$F$350,$F$353,$F$356,$F$359,$F$363,$F$367,$F$370,$F$373,$F$376,$F$379,$F$383,$F$387,$F$390,$F$393,$F$396,$F$399,$F$402,$F$405,$F$409)&gt;'INPUTAN DESA ....'!$F$118,"CEK",IF(F367="","Belum Terisi",""))))</f>
        <v/>
      </c>
      <c r="K367" s="42" t="str">
        <f>IF(AND(J367="CEK",SUM($F$347,$F$350,$F$353,$F$356,$F$359,$F$363,$F$367,$F$370,$F$373,$F$376,$F$379,$F$383,$F$387,$F$390,$F$393,$F$396,$F$399,$F$402,$F$405,$F$409)&gt;'INPUTAN DESA ....'!$F$118),"Total Seluruh Pekerja Tambang Gol A,B,C Tidak Lebih Besar dari Jumlah Penduduk di Desa",IF(AND(J367="CEK",$F$343="tidak ada",F367&lt;&gt;0),"Tidak Terdapat Kawasan Tambang (no. 66)",IF(AND(J367="CEK",F366="tidak ada",F367&lt;&gt;0),"Tidak Terdapat Tambang Bauksit",IF(AND(J367="CEK",F366="ada",F367&lt;=0),"Terdapat Tambang Bauksit",""))))</f>
        <v/>
      </c>
      <c r="L367" s="44"/>
      <c r="M367" s="853"/>
      <c r="N367" s="853"/>
      <c r="O367" s="853"/>
      <c r="P367" s="853"/>
      <c r="Q367" s="853"/>
      <c r="R367" s="853"/>
      <c r="S367" s="853"/>
      <c r="T367" s="853"/>
      <c r="U367" s="853"/>
      <c r="V367" s="853"/>
    </row>
    <row r="368" spans="1:22" s="2" customFormat="1" ht="30" customHeight="1" x14ac:dyDescent="0.25">
      <c r="A368" s="541"/>
      <c r="B368" s="242" t="s">
        <v>139</v>
      </c>
      <c r="C368" s="342" t="s">
        <v>1233</v>
      </c>
      <c r="D368" s="100">
        <f t="shared" si="25"/>
        <v>806</v>
      </c>
      <c r="E368" s="427" t="s">
        <v>171</v>
      </c>
      <c r="F368" s="697" t="s">
        <v>263</v>
      </c>
      <c r="G368" s="924"/>
      <c r="H368" s="922"/>
      <c r="I368" s="923"/>
      <c r="J368" s="198" t="str">
        <f>IF(F368="","Belum Terisi",IF(AND($F$343="tidak ada",F368&lt;&gt;"Tidak ada"),"CEK",IF(AND(F366="tidak ada",F368&lt;&gt;"tidak ada"),"CEK",IF(AND(F366="ada",F368="tidak ada"),"CEK",IF(F368="","Belum Terisi","")))))</f>
        <v/>
      </c>
      <c r="K368" s="42" t="str">
        <f>IF(AND(J368="CEK",$F$343="Tidak Ada",F368&lt;&gt;"tidak ada"),"Tidak Terdapat Kawasan Tambang di Desa (no.66)",IF(AND(J368="CEK",F366="Tidak Ada",F368&lt;&gt;"Tidak Ada"),"Tidak Ada Tambang Bauksit",IF(AND(J368="CEK",F366="Ada",F368="Tidak Ada"),"Terdapat Tambang Bauksit","")))</f>
        <v/>
      </c>
      <c r="L368" s="44"/>
      <c r="M368" s="21"/>
      <c r="N368" s="21"/>
      <c r="O368" s="21"/>
      <c r="P368" s="21"/>
      <c r="Q368" s="21"/>
      <c r="R368" s="21"/>
      <c r="S368" s="21"/>
      <c r="T368" s="21"/>
      <c r="U368" s="21"/>
      <c r="V368" s="21"/>
    </row>
    <row r="369" spans="1:22" s="2" customFormat="1" ht="30" customHeight="1" x14ac:dyDescent="0.25">
      <c r="A369" s="648">
        <f>A366+1</f>
        <v>74</v>
      </c>
      <c r="B369" s="363"/>
      <c r="C369" s="360" t="s">
        <v>1174</v>
      </c>
      <c r="D369" s="100">
        <f t="shared" si="25"/>
        <v>807</v>
      </c>
      <c r="E369" s="427" t="s">
        <v>171</v>
      </c>
      <c r="F369" s="693" t="s">
        <v>263</v>
      </c>
      <c r="G369" s="924"/>
      <c r="H369" s="922"/>
      <c r="I369" s="923"/>
      <c r="J369" s="198" t="str">
        <f>IF(AND($F$343="tidak ada",F369="ada"),"CEK",IF(F369="","Belum Terisi",""))</f>
        <v/>
      </c>
      <c r="K369" s="31" t="str">
        <f>IF(J369="CEK","Tidak Ada Kawasan Tambang (no. 66)","")</f>
        <v/>
      </c>
      <c r="L369" s="43"/>
      <c r="M369" s="21"/>
      <c r="N369" s="21"/>
      <c r="O369" s="21"/>
      <c r="P369" s="21"/>
      <c r="Q369" s="21"/>
      <c r="R369" s="21"/>
      <c r="S369" s="21"/>
      <c r="T369" s="21"/>
      <c r="U369" s="21"/>
      <c r="V369" s="21"/>
    </row>
    <row r="370" spans="1:22" s="27" customFormat="1" ht="30" customHeight="1" x14ac:dyDescent="0.25">
      <c r="A370" s="542"/>
      <c r="B370" s="242" t="s">
        <v>41</v>
      </c>
      <c r="C370" s="364" t="s">
        <v>1215</v>
      </c>
      <c r="D370" s="100">
        <f t="shared" si="25"/>
        <v>808</v>
      </c>
      <c r="E370" s="455" t="s">
        <v>33</v>
      </c>
      <c r="F370" s="749">
        <v>0</v>
      </c>
      <c r="G370" s="924"/>
      <c r="H370" s="922" t="s">
        <v>688</v>
      </c>
      <c r="I370" s="923"/>
      <c r="J370" s="198" t="str">
        <f>IF(AND($F$343="tidak ada",F370&lt;&gt;0),"CEK",IF(AND(F369="tidak ada",F370&lt;&gt;0),"CEK",IF(SUM($F$347,$F$350,$F$353,$F$356,$F$359,$F$363,$F$367,$F$370,$F$373,$F$376,$F$379,$F$383,$F$387,$F$390,$F$393,$F$396,$F$399,$F$402,$F$405,$F$409)&gt;'INPUTAN DESA ....'!$F$118,"CEK",IF(F370="","Belum Terisi",""))))</f>
        <v/>
      </c>
      <c r="K370" s="42" t="str">
        <f>IF(AND(J370="CEK",SUM($F$347,$F$350,$F$353,$F$356,$F$359,$F$363,$F$367,$F$370,$F$373,$F$376,$F$379,$F$383,$F$387,$F$390,$F$393,$F$396,$F$399,$F$402,$F$405,$F$409)&gt;'INPUTAN DESA ....'!$F$118),"Total Seluruh Pekerja Tambang Gol A,B,C Tidak Lebih Besar dari Jumlah Penduduk di Desa",IF(AND(J370="CEK",$F$343="tidak ada",F370&lt;&gt;0),"Tidak Terdapat Kawasan Tambang (no. 66)",IF(AND(J370="CEK",F369="tidak ada",F370&lt;&gt;0),"Tidak Terdapat Tambang Tembaga",IF(AND(J370="CEK",F369="ada",F370&lt;=0),"Terdapat Tambang Tembaga",""))))</f>
        <v/>
      </c>
      <c r="L370" s="44"/>
      <c r="M370" s="853"/>
      <c r="N370" s="853"/>
      <c r="O370" s="853"/>
      <c r="P370" s="853"/>
      <c r="Q370" s="853"/>
      <c r="R370" s="853"/>
      <c r="S370" s="853"/>
      <c r="T370" s="853"/>
      <c r="U370" s="853"/>
      <c r="V370" s="853"/>
    </row>
    <row r="371" spans="1:22" s="2" customFormat="1" ht="30" customHeight="1" x14ac:dyDescent="0.25">
      <c r="A371" s="541"/>
      <c r="B371" s="242" t="s">
        <v>139</v>
      </c>
      <c r="C371" s="342" t="s">
        <v>1234</v>
      </c>
      <c r="D371" s="100">
        <f t="shared" si="25"/>
        <v>809</v>
      </c>
      <c r="E371" s="427" t="s">
        <v>171</v>
      </c>
      <c r="F371" s="697" t="s">
        <v>263</v>
      </c>
      <c r="G371" s="924"/>
      <c r="H371" s="922"/>
      <c r="I371" s="923"/>
      <c r="J371" s="198" t="str">
        <f>IF(F371="","Belum Terisi",IF(AND($F$343="tidak ada",F371&lt;&gt;"Tidak ada"),"CEK",IF(AND(F369="tidak ada",F371&lt;&gt;"tidak ada"),"CEK",IF(AND(F369="ada",F371="tidak ada"),"CEK",IF(F371="","Belum Terisi","")))))</f>
        <v/>
      </c>
      <c r="K371" s="42" t="str">
        <f>IF(AND(J371="CEK",$F$343="Tidak Ada",F371&lt;&gt;"tidak ada"),"Tidak Terdapat Kawasan Tambang di Desa (no.66)",IF(AND(J371="CEK",F369="Tidak Ada",F371&lt;&gt;"Tidak Ada"),"Tidak Ada Tambang Tembaga",IF(AND(J371="CEK",F369="Ada",F371="Tidak Ada"),"Terdapat Tambang Tembaga","")))</f>
        <v/>
      </c>
      <c r="L371" s="44"/>
      <c r="M371" s="21"/>
      <c r="N371" s="21"/>
      <c r="O371" s="21"/>
      <c r="P371" s="21"/>
      <c r="Q371" s="21"/>
      <c r="R371" s="21"/>
      <c r="S371" s="21"/>
      <c r="T371" s="21"/>
      <c r="U371" s="21"/>
      <c r="V371" s="21"/>
    </row>
    <row r="372" spans="1:22" s="2" customFormat="1" ht="30" customHeight="1" x14ac:dyDescent="0.25">
      <c r="A372" s="648">
        <f>A369+1</f>
        <v>75</v>
      </c>
      <c r="B372" s="858"/>
      <c r="C372" s="859" t="s">
        <v>1175</v>
      </c>
      <c r="D372" s="100">
        <f t="shared" si="25"/>
        <v>810</v>
      </c>
      <c r="E372" s="427" t="s">
        <v>171</v>
      </c>
      <c r="F372" s="693" t="s">
        <v>263</v>
      </c>
      <c r="G372" s="924"/>
      <c r="H372" s="922"/>
      <c r="I372" s="923"/>
      <c r="J372" s="198" t="str">
        <f>IF(AND($F$343="tidak ada",F372="ada"),"CEK",IF(F372="","Belum Terisi",""))</f>
        <v/>
      </c>
      <c r="K372" s="31" t="str">
        <f>IF(J372="CEK","Tidak Ada Kawasan Tambang (no. 66)","")</f>
        <v/>
      </c>
      <c r="L372" s="31"/>
      <c r="M372" s="21"/>
      <c r="N372" s="21"/>
      <c r="O372" s="21"/>
      <c r="P372" s="21"/>
      <c r="Q372" s="21"/>
      <c r="R372" s="21"/>
      <c r="S372" s="21"/>
      <c r="T372" s="21"/>
      <c r="U372" s="21"/>
      <c r="V372" s="21"/>
    </row>
    <row r="373" spans="1:22" s="18" customFormat="1" ht="30" customHeight="1" x14ac:dyDescent="0.25">
      <c r="A373" s="542"/>
      <c r="B373" s="242" t="s">
        <v>41</v>
      </c>
      <c r="C373" s="365" t="s">
        <v>1216</v>
      </c>
      <c r="D373" s="100">
        <f t="shared" si="25"/>
        <v>811</v>
      </c>
      <c r="E373" s="505" t="s">
        <v>33</v>
      </c>
      <c r="F373" s="816">
        <v>0</v>
      </c>
      <c r="G373" s="924"/>
      <c r="H373" s="922" t="s">
        <v>688</v>
      </c>
      <c r="I373" s="923"/>
      <c r="J373" s="198" t="str">
        <f>IF(AND($F$343="tidak ada",F373&lt;&gt;0),"CEK",IF(AND(F372="tidak ada",F373&lt;&gt;0),"CEK",IF(SUM($F$347,$F$350,$F$353,$F$356,$F$359,$F$363,$F$367,$F$370,$F$373,$F$376,$F$379,$F$383,$F$387,$F$390,$F$393,$F$396,$F$399,$F$402,$F$405,$F$409)&gt;'INPUTAN DESA ....'!$F$118,"CEK",IF(F373="","Belum Terisi",""))))</f>
        <v/>
      </c>
      <c r="K373" s="42" t="str">
        <f>IF(AND(J373="CEK",SUM($F$347,$F$350,$F$353,$F$356,$F$359,$F$363,$F$367,$F$370,$F$373,$F$376,$F$379,$F$383,$F$387,$F$390,$F$393,$F$396,$F$399,$F$402,$F$405,$F$409)&gt;'INPUTAN DESA ....'!$F$118),"Total Seluruh Pekerja Tambang Gol A,B,C Tidak Lebih Besar dari Jumlah Penduduk di Desa",IF(AND(J373="CEK",$F$343="tidak ada",F373&lt;&gt;0),"Tidak Terdapat Kawasan Tambang (no. 66)",IF(AND(J373="CEK",F372="tidak ada",F373&lt;&gt;0),"Tidak Terdapat Tambang Belerang",IF(AND(J373="CEK",F372="ada",F373&lt;=0),"Terdapat Tambang Belerang",""))))</f>
        <v/>
      </c>
      <c r="L373" s="44"/>
      <c r="M373" s="854"/>
      <c r="N373" s="854"/>
      <c r="O373" s="854"/>
      <c r="P373" s="854"/>
      <c r="Q373" s="854"/>
      <c r="R373" s="854"/>
      <c r="S373" s="854"/>
      <c r="T373" s="854"/>
      <c r="U373" s="854"/>
      <c r="V373" s="854"/>
    </row>
    <row r="374" spans="1:22" s="2" customFormat="1" ht="30" customHeight="1" x14ac:dyDescent="0.25">
      <c r="A374" s="541"/>
      <c r="B374" s="242" t="s">
        <v>139</v>
      </c>
      <c r="C374" s="342" t="s">
        <v>1235</v>
      </c>
      <c r="D374" s="100">
        <f t="shared" si="25"/>
        <v>812</v>
      </c>
      <c r="E374" s="427" t="s">
        <v>171</v>
      </c>
      <c r="F374" s="697" t="s">
        <v>263</v>
      </c>
      <c r="G374" s="924"/>
      <c r="H374" s="922"/>
      <c r="I374" s="923"/>
      <c r="J374" s="198" t="str">
        <f>IF(F374="","Belum Terisi",IF(AND($F$343="tidak ada",F374&lt;&gt;"Tidak ada"),"CEK",IF(AND(F372="tidak ada",F374&lt;&gt;"tidak ada"),"CEK",IF(AND(F372="ada",F374="tidak ada"),"CEK",IF(F374="","Belum Terisi","")))))</f>
        <v/>
      </c>
      <c r="K374" s="42" t="str">
        <f>IF(AND(J374="CEK",$F$343="Tidak Ada",F374&lt;&gt;"tidak ada"),"Tidak Terdapat Kawasan Tambang di Desa (no.66)",IF(AND(J374="CEK",F372="Tidak Ada",F374&lt;&gt;"Tidak Ada"),"Tidak Ada Tambang Belerang",IF(AND(J374="CEK",F372="Ada",F374="Tidak Ada"),"Terdapat Tambang Belerang","")))</f>
        <v/>
      </c>
      <c r="L374" s="44"/>
      <c r="M374" s="21"/>
      <c r="N374" s="21"/>
      <c r="O374" s="21"/>
      <c r="P374" s="21"/>
      <c r="Q374" s="21"/>
      <c r="R374" s="21"/>
      <c r="S374" s="21"/>
      <c r="T374" s="21"/>
      <c r="U374" s="21"/>
      <c r="V374" s="21"/>
    </row>
    <row r="375" spans="1:22" s="2" customFormat="1" ht="30" customHeight="1" x14ac:dyDescent="0.25">
      <c r="A375" s="648">
        <f>A372+1</f>
        <v>76</v>
      </c>
      <c r="B375" s="363"/>
      <c r="C375" s="360" t="s">
        <v>1176</v>
      </c>
      <c r="D375" s="100">
        <f t="shared" si="25"/>
        <v>813</v>
      </c>
      <c r="E375" s="427" t="s">
        <v>171</v>
      </c>
      <c r="F375" s="693" t="s">
        <v>263</v>
      </c>
      <c r="G375" s="924"/>
      <c r="H375" s="922"/>
      <c r="I375" s="923"/>
      <c r="J375" s="198" t="str">
        <f>IF(AND($F$343="tidak ada",F375="ada"),"CEK",IF(F375="","Belum Terisi",""))</f>
        <v/>
      </c>
      <c r="K375" s="31" t="str">
        <f>IF(J375="CEK","Tidak Ada Kawasan Tambang (no. 66)","")</f>
        <v/>
      </c>
      <c r="L375" s="43"/>
      <c r="M375" s="21"/>
      <c r="N375" s="21"/>
      <c r="O375" s="21"/>
      <c r="P375" s="21"/>
      <c r="Q375" s="21"/>
      <c r="R375" s="21"/>
      <c r="S375" s="21"/>
      <c r="T375" s="21"/>
      <c r="U375" s="21"/>
      <c r="V375" s="21"/>
    </row>
    <row r="376" spans="1:22" s="18" customFormat="1" ht="30" customHeight="1" x14ac:dyDescent="0.25">
      <c r="A376" s="542"/>
      <c r="B376" s="242" t="s">
        <v>41</v>
      </c>
      <c r="C376" s="365" t="s">
        <v>1217</v>
      </c>
      <c r="D376" s="100">
        <f t="shared" si="25"/>
        <v>814</v>
      </c>
      <c r="E376" s="505" t="s">
        <v>33</v>
      </c>
      <c r="F376" s="816">
        <v>0</v>
      </c>
      <c r="G376" s="924"/>
      <c r="H376" s="922" t="s">
        <v>688</v>
      </c>
      <c r="I376" s="923"/>
      <c r="J376" s="198" t="str">
        <f>IF(AND($F$343="tidak ada",F376&lt;&gt;0),"CEK",IF(AND(F375="tidak ada",F376&lt;&gt;0),"CEK",IF(SUM($F$347,$F$350,$F$353,$F$356,$F$359,$F$363,$F$367,$F$370,$F$373,$F$376,$F$379,$F$383,$F$387,$F$390,$F$393,$F$396,$F$399,$F$402,$F$405,$F$409)&gt;'INPUTAN DESA ....'!$F$118,"CEK",IF(F376="","Belum Terisi",""))))</f>
        <v/>
      </c>
      <c r="K376" s="42" t="str">
        <f>IF(AND(J376="CEK",SUM($F$347,$F$350,$F$353,$F$356,$F$359,$F$363,$F$367,$F$370,$F$373,$F$376,$F$379,$F$383,$F$387,$F$390,$F$393,$F$396,$F$399,$F$402,$F$405,$F$409)&gt;'INPUTAN DESA ....'!$F$118),"Total Seluruh Pekerja Tambang Gol A,B,C Tidak Lebih Besar dari Jumlah Penduduk di Desa",IF(AND(J376="CEK",$F$343="tidak ada",F376&lt;&gt;0),"Tidak Terdapat Kawasan Tambang (no. 66)",IF(AND(J376="CEK",F375="tidak ada",F376&lt;&gt;0),"Tidak Terdapat Tambang Emas",IF(AND(J376="CEK",F375="ada",F376&lt;=0),"Terdapat Tambang Emas",""))))</f>
        <v/>
      </c>
      <c r="L376" s="44"/>
      <c r="M376" s="854"/>
      <c r="N376" s="854"/>
      <c r="O376" s="854"/>
      <c r="P376" s="854"/>
      <c r="Q376" s="854"/>
      <c r="R376" s="854"/>
      <c r="S376" s="854"/>
      <c r="T376" s="854"/>
      <c r="U376" s="854"/>
      <c r="V376" s="854"/>
    </row>
    <row r="377" spans="1:22" s="2" customFormat="1" ht="30" customHeight="1" x14ac:dyDescent="0.25">
      <c r="A377" s="541"/>
      <c r="B377" s="242" t="s">
        <v>139</v>
      </c>
      <c r="C377" s="342" t="s">
        <v>1236</v>
      </c>
      <c r="D377" s="100">
        <f t="shared" si="25"/>
        <v>815</v>
      </c>
      <c r="E377" s="427" t="s">
        <v>171</v>
      </c>
      <c r="F377" s="697" t="s">
        <v>263</v>
      </c>
      <c r="G377" s="924"/>
      <c r="H377" s="922"/>
      <c r="I377" s="923"/>
      <c r="J377" s="198" t="str">
        <f>IF(F377="","Belum Terisi",IF(AND($F$343="tidak ada",F377&lt;&gt;"Tidak ada"),"CEK",IF(AND(F375="tidak ada",F377&lt;&gt;"tidak ada"),"CEK",IF(AND(F375="ada",F377="tidak ada"),"CEK",IF(F377="","Belum Terisi","")))))</f>
        <v/>
      </c>
      <c r="K377" s="42" t="str">
        <f>IF(AND(J377="CEK",$F$343="Tidak Ada",F377&lt;&gt;"tidak ada"),"Tidak Terdapat Kawasan Tambang di Desa (no.66)",IF(AND(J377="CEK",F375="Tidak Ada",F377&lt;&gt;"Tidak Ada"),"Tidak Ada Tambang Emas",IF(AND(J377="CEK",F375="Ada",F377="Tidak Ada"),"Terdapat Tambang Emas","")))</f>
        <v/>
      </c>
      <c r="L377" s="44"/>
      <c r="M377" s="21"/>
      <c r="N377" s="21"/>
      <c r="O377" s="21"/>
      <c r="P377" s="21"/>
      <c r="Q377" s="21"/>
      <c r="R377" s="21"/>
      <c r="S377" s="21"/>
      <c r="T377" s="21"/>
      <c r="U377" s="21"/>
      <c r="V377" s="21"/>
    </row>
    <row r="378" spans="1:22" s="2" customFormat="1" ht="30" customHeight="1" x14ac:dyDescent="0.25">
      <c r="A378" s="648">
        <f>A375+1</f>
        <v>77</v>
      </c>
      <c r="B378" s="363"/>
      <c r="C378" s="360" t="s">
        <v>1177</v>
      </c>
      <c r="D378" s="100">
        <f t="shared" si="25"/>
        <v>816</v>
      </c>
      <c r="E378" s="427" t="s">
        <v>171</v>
      </c>
      <c r="F378" s="693" t="s">
        <v>263</v>
      </c>
      <c r="G378" s="924"/>
      <c r="H378" s="922"/>
      <c r="I378" s="923"/>
      <c r="J378" s="198" t="str">
        <f>IF(AND($F$343="tidak ada",F378="ada"),"CEK",IF(F378="","Belum Terisi",""))</f>
        <v/>
      </c>
      <c r="K378" s="31" t="str">
        <f>IF(J378="CEK","Tidak Ada Kawasan Tambang (no. 66)","")</f>
        <v/>
      </c>
      <c r="L378" s="31"/>
      <c r="M378" s="21"/>
      <c r="N378" s="21"/>
      <c r="O378" s="21"/>
      <c r="P378" s="21"/>
      <c r="Q378" s="21"/>
      <c r="R378" s="21"/>
      <c r="S378" s="21"/>
      <c r="T378" s="21"/>
      <c r="U378" s="21"/>
      <c r="V378" s="21"/>
    </row>
    <row r="379" spans="1:22" s="18" customFormat="1" ht="30" customHeight="1" x14ac:dyDescent="0.25">
      <c r="A379" s="542"/>
      <c r="B379" s="242" t="s">
        <v>41</v>
      </c>
      <c r="C379" s="365" t="s">
        <v>1218</v>
      </c>
      <c r="D379" s="100">
        <f t="shared" si="25"/>
        <v>817</v>
      </c>
      <c r="E379" s="505" t="s">
        <v>33</v>
      </c>
      <c r="F379" s="816">
        <v>0</v>
      </c>
      <c r="G379" s="924"/>
      <c r="H379" s="922" t="s">
        <v>688</v>
      </c>
      <c r="I379" s="923"/>
      <c r="J379" s="198" t="str">
        <f>IF(AND($F$343="tidak ada",F379&lt;&gt;0),"CEK",IF(AND(F378="tidak ada",F379&lt;&gt;0),"CEK",IF(SUM($F$347,$F$350,$F$353,$F$356,$F$359,$F$363,$F$367,$F$370,$F$373,$F$376,$F$379,$F$383,$F$387,$F$390,$F$393,$F$396,$F$399,$F$402,$F$405,$F$409)&gt;'INPUTAN DESA ....'!$F$118,"CEK",IF(F379="","Belum Terisi",""))))</f>
        <v/>
      </c>
      <c r="K379" s="42" t="str">
        <f>IF(AND(J379="CEK",SUM($F$347,$F$350,$F$353,$F$356,$F$359,$F$363,$F$367,$F$370,$F$373,$F$376,$F$379,$F$383,$F$387,$F$390,$F$393,$F$396,$F$399,$F$402,$F$405,$F$409)&gt;'INPUTAN DESA ....'!$F$118),"Total Seluruh Pekerja Tambang Gol A,B,C Tidak Lebih Besar dari Jumlah Penduduk di Desa",IF(AND(J379="CEK",$F$343="tidak ada",F379&lt;&gt;0),"Tidak Terdapat Kawasan Tambang (no. 66)",IF(AND(J379="CEK",F378="tidak ada",F379&lt;&gt;0),"Tidak Terdapat Tambang Perak",IF(AND(J379="CEK",F378="ada",F379&lt;=0),"Terdapat Tambang Perak",""))))</f>
        <v/>
      </c>
      <c r="L379" s="44"/>
      <c r="M379" s="854"/>
      <c r="N379" s="854"/>
      <c r="O379" s="854"/>
      <c r="P379" s="854"/>
      <c r="Q379" s="854"/>
      <c r="R379" s="854"/>
      <c r="S379" s="854"/>
      <c r="T379" s="854"/>
      <c r="U379" s="854"/>
      <c r="V379" s="854"/>
    </row>
    <row r="380" spans="1:22" s="2" customFormat="1" ht="30" customHeight="1" x14ac:dyDescent="0.25">
      <c r="A380" s="541"/>
      <c r="B380" s="242" t="s">
        <v>139</v>
      </c>
      <c r="C380" s="342" t="s">
        <v>1237</v>
      </c>
      <c r="D380" s="100">
        <f t="shared" si="25"/>
        <v>818</v>
      </c>
      <c r="E380" s="427" t="s">
        <v>171</v>
      </c>
      <c r="F380" s="697" t="s">
        <v>263</v>
      </c>
      <c r="G380" s="924"/>
      <c r="H380" s="922"/>
      <c r="I380" s="923"/>
      <c r="J380" s="198" t="str">
        <f>IF(F380="","Belum Terisi",IF(AND($F$343="tidak ada",F380&lt;&gt;"Tidak ada"),"CEK",IF(AND(F378="tidak ada",F380&lt;&gt;"tidak ada"),"CEK",IF(AND(F378="ada",F380="tidak ada"),"CEK",IF(F380="","Belum Terisi","")))))</f>
        <v/>
      </c>
      <c r="K380" s="42" t="str">
        <f>IF(AND(J380="CEK",$F$343="Tidak Ada",F380&lt;&gt;"tidak ada"),"Tidak Terdapat Kawasan Tambang di Desa (no.66)",IF(AND(J380="CEK",F378="Tidak Ada",F380&lt;&gt;"Tidak Ada"),"Tidak Ada Tambang Perak",IF(AND(J380="CEK",F378="Ada",F380="Tidak Ada"),"Terdapat Tambang Perak","")))</f>
        <v/>
      </c>
      <c r="L380" s="44"/>
      <c r="M380" s="21"/>
      <c r="N380" s="21"/>
      <c r="O380" s="21"/>
      <c r="P380" s="21"/>
      <c r="Q380" s="21"/>
      <c r="R380" s="21"/>
      <c r="S380" s="21"/>
      <c r="T380" s="21"/>
      <c r="U380" s="21"/>
      <c r="V380" s="21"/>
    </row>
    <row r="381" spans="1:22" s="2" customFormat="1" ht="30" customHeight="1" x14ac:dyDescent="0.25">
      <c r="A381" s="648">
        <f>A378+1</f>
        <v>78</v>
      </c>
      <c r="B381" s="363"/>
      <c r="C381" s="360" t="s">
        <v>2474</v>
      </c>
      <c r="D381" s="100">
        <f t="shared" si="25"/>
        <v>819</v>
      </c>
      <c r="E381" s="427" t="s">
        <v>171</v>
      </c>
      <c r="F381" s="693" t="s">
        <v>263</v>
      </c>
      <c r="G381" s="924"/>
      <c r="H381" s="922"/>
      <c r="I381" s="923"/>
      <c r="J381" s="198" t="str">
        <f>IF(AND($F$343="tidak ada",F381="ada"),"CEK",IF(F381="","Belum Terisi",""))</f>
        <v/>
      </c>
      <c r="K381" s="31" t="str">
        <f>IF(J381="CEK","Tidak Ada Kawasan Tambang (no. 66)","")</f>
        <v/>
      </c>
      <c r="L381" s="43"/>
      <c r="M381" s="21"/>
      <c r="N381" s="21"/>
      <c r="O381" s="21"/>
      <c r="P381" s="21"/>
      <c r="Q381" s="21"/>
      <c r="R381" s="21"/>
      <c r="S381" s="21"/>
      <c r="T381" s="21"/>
      <c r="U381" s="21"/>
      <c r="V381" s="21"/>
    </row>
    <row r="382" spans="1:22" s="2" customFormat="1" ht="30" customHeight="1" x14ac:dyDescent="0.25">
      <c r="A382" s="542"/>
      <c r="B382" s="242" t="s">
        <v>41</v>
      </c>
      <c r="C382" s="342" t="s">
        <v>1197</v>
      </c>
      <c r="D382" s="100">
        <f t="shared" si="25"/>
        <v>820</v>
      </c>
      <c r="E382" s="427" t="s">
        <v>174</v>
      </c>
      <c r="F382" s="694" t="s">
        <v>240</v>
      </c>
      <c r="G382" s="924"/>
      <c r="H382" s="922"/>
      <c r="I382" s="923"/>
      <c r="J382" s="198" t="str">
        <f>IF(F382="","Belum Terisi",IF(AND($F$343="tidak ada",F381&lt;&gt;"Tidak ada"),"CEK",IF(AND(F381="tidak ada",F382&lt;&gt;"-"),"CEK",IF(AND(F381="ada",F382="-"),"CEK",""))))</f>
        <v/>
      </c>
      <c r="K382" s="42" t="str">
        <f>IF(J382="CEK",F381&amp;" Tambang Gol B Lainnya","")</f>
        <v/>
      </c>
      <c r="L382" s="44"/>
      <c r="M382" s="21"/>
      <c r="N382" s="21"/>
      <c r="O382" s="21"/>
      <c r="P382" s="21"/>
      <c r="Q382" s="21"/>
      <c r="R382" s="21"/>
      <c r="S382" s="21"/>
      <c r="T382" s="21"/>
      <c r="U382" s="21"/>
      <c r="V382" s="21"/>
    </row>
    <row r="383" spans="1:22" s="18" customFormat="1" ht="30" customHeight="1" x14ac:dyDescent="0.25">
      <c r="A383" s="542"/>
      <c r="B383" s="242" t="s">
        <v>139</v>
      </c>
      <c r="C383" s="365" t="s">
        <v>1232</v>
      </c>
      <c r="D383" s="100">
        <f t="shared" si="25"/>
        <v>821</v>
      </c>
      <c r="E383" s="505" t="s">
        <v>33</v>
      </c>
      <c r="F383" s="816">
        <v>0</v>
      </c>
      <c r="G383" s="924"/>
      <c r="H383" s="922" t="s">
        <v>688</v>
      </c>
      <c r="I383" s="923"/>
      <c r="J383" s="198" t="str">
        <f>IF(AND($F$343="tidak ada",F383&lt;&gt;0),"CEK",IF(AND(F382="tidak ada",F383&lt;&gt;0),"CEK",IF(SUM($F$347,$F$350,$F$353,$F$356,$F$359,$F$363,$F$367,$F$370,$F$373,$F$376,$F$379,$F$383,$F$387,$F$390,$F$393,$F$396,$F$399,$F$402,$F$405,$F$409)&gt;'INPUTAN DESA ....'!$F$118,"CEK",IF(F383="","Belum Terisi",""))))</f>
        <v/>
      </c>
      <c r="K383" s="42" t="str">
        <f>IF(AND(J383="CEK",SUM($F$347,$F$350,$F$353,$F$356,$F$359,$F$363,$F$367,$F$370,$F$373,$F$376,$F$379,$F$383,$F$387,$F$390,$F$393,$F$396,$F$399,$F$402,$F$405,$F$409)&gt;'INPUTAN DESA ....'!$F$118),"Total Seluruh Pekerja Tambang Gol A,B,C Tidak Lebih Besar dari Jumlah Penduduk di Desa",IF(AND(J383="CEK",$F$343="tidak ada",F383&lt;&gt;0),"Tidak Terdapat Kawasan Tambang (no. 66)",IF(AND(J383="CEK",F382="tidak ada",F383&lt;&gt;0),"Tidak Terdapat Tambang Gol B Lainnya",IF(AND(J383="CEK",F382="ada",F383&lt;=0),"Terdapat Tambang Gol B Lainnya",""))))</f>
        <v/>
      </c>
      <c r="L383" s="44"/>
      <c r="M383" s="854"/>
      <c r="N383" s="854"/>
      <c r="O383" s="854"/>
      <c r="P383" s="854"/>
      <c r="Q383" s="854"/>
      <c r="R383" s="854"/>
      <c r="S383" s="854"/>
      <c r="T383" s="854"/>
      <c r="U383" s="854"/>
      <c r="V383" s="854"/>
    </row>
    <row r="384" spans="1:22" s="2" customFormat="1" ht="30" customHeight="1" x14ac:dyDescent="0.25">
      <c r="A384" s="541"/>
      <c r="B384" s="242" t="s">
        <v>251</v>
      </c>
      <c r="C384" s="342" t="s">
        <v>1254</v>
      </c>
      <c r="D384" s="100">
        <f t="shared" si="25"/>
        <v>822</v>
      </c>
      <c r="E384" s="427" t="s">
        <v>171</v>
      </c>
      <c r="F384" s="697" t="s">
        <v>263</v>
      </c>
      <c r="G384" s="924"/>
      <c r="H384" s="922"/>
      <c r="I384" s="923"/>
      <c r="J384" s="198" t="str">
        <f>IF(F384="","Belum Terisi",IF(AND($F$343="tidak ada",F384&lt;&gt;"Tidak ada"),"CEK",IF(AND(F382="tidak ada",F384&lt;&gt;"tidak ada"),"CEK",IF(AND(F382="ada",F384="tidak ada"),"CEK",IF(F384="","Belum Terisi","")))))</f>
        <v/>
      </c>
      <c r="K384" s="42" t="str">
        <f>IF(AND(J384="CEK",$F$343="Tidak Ada",F384&lt;&gt;"tidak ada"),"Tidak Terdapat Kawasan Tambang di Desa (no.66)",IF(AND(J384="CEK",F382="Tidak Ada",F384&lt;&gt;"Tidak Ada"),"Tidak Ada Tambang Gol B Lainnya",IF(AND(J384="CEK",F382="Ada",F384="Tidak Ada"),"Terdapat Tambang Gol B Lainnya","")))</f>
        <v/>
      </c>
      <c r="L384" s="44"/>
      <c r="M384" s="21"/>
      <c r="N384" s="21"/>
      <c r="O384" s="21"/>
      <c r="P384" s="21"/>
      <c r="Q384" s="21"/>
      <c r="R384" s="21"/>
      <c r="S384" s="21"/>
      <c r="T384" s="21"/>
      <c r="U384" s="21"/>
      <c r="V384" s="21"/>
    </row>
    <row r="385" spans="1:22" s="2" customFormat="1" ht="30" customHeight="1" x14ac:dyDescent="0.25">
      <c r="A385" s="559" t="s">
        <v>184</v>
      </c>
      <c r="B385" s="357"/>
      <c r="C385" s="356"/>
      <c r="D385" s="428"/>
      <c r="E385" s="429"/>
      <c r="F385" s="714"/>
      <c r="G385" s="924"/>
      <c r="H385" s="922"/>
      <c r="I385" s="923"/>
      <c r="J385" s="98"/>
      <c r="K385" s="31"/>
      <c r="L385" s="43"/>
      <c r="M385" s="21"/>
      <c r="N385" s="21"/>
      <c r="O385" s="21"/>
      <c r="P385" s="21"/>
      <c r="Q385" s="21"/>
      <c r="R385" s="21"/>
      <c r="S385" s="21"/>
      <c r="T385" s="21"/>
      <c r="U385" s="21"/>
      <c r="V385" s="21"/>
    </row>
    <row r="386" spans="1:22" s="2" customFormat="1" ht="30" customHeight="1" x14ac:dyDescent="0.25">
      <c r="A386" s="648">
        <f>A381+1</f>
        <v>79</v>
      </c>
      <c r="B386" s="363"/>
      <c r="C386" s="360" t="s">
        <v>1178</v>
      </c>
      <c r="D386" s="100">
        <f>D384+1</f>
        <v>823</v>
      </c>
      <c r="E386" s="427" t="s">
        <v>171</v>
      </c>
      <c r="F386" s="693" t="s">
        <v>263</v>
      </c>
      <c r="G386" s="924"/>
      <c r="H386" s="922"/>
      <c r="I386" s="923"/>
      <c r="J386" s="198" t="str">
        <f>IF(AND($F$343="tidak ada",F386="ada"),"CEK",IF(F386="","Belum Terisi",""))</f>
        <v/>
      </c>
      <c r="K386" s="31" t="str">
        <f>IF(J386="CEK","Tidak Ada Kawasan Tambang (no. 66)","")</f>
        <v/>
      </c>
      <c r="L386" s="43"/>
      <c r="M386" s="21"/>
      <c r="N386" s="21"/>
      <c r="O386" s="21"/>
      <c r="P386" s="21"/>
      <c r="Q386" s="21"/>
      <c r="R386" s="21"/>
      <c r="S386" s="21"/>
      <c r="T386" s="21"/>
      <c r="U386" s="21"/>
      <c r="V386" s="21"/>
    </row>
    <row r="387" spans="1:22" s="27" customFormat="1" ht="30" customHeight="1" x14ac:dyDescent="0.25">
      <c r="A387" s="542"/>
      <c r="B387" s="242" t="s">
        <v>41</v>
      </c>
      <c r="C387" s="364" t="s">
        <v>1219</v>
      </c>
      <c r="D387" s="100">
        <f t="shared" si="25"/>
        <v>824</v>
      </c>
      <c r="E387" s="455" t="s">
        <v>33</v>
      </c>
      <c r="F387" s="749">
        <v>0</v>
      </c>
      <c r="G387" s="924"/>
      <c r="H387" s="922" t="s">
        <v>688</v>
      </c>
      <c r="I387" s="923"/>
      <c r="J387" s="198" t="str">
        <f>IF(AND($F$343="tidak ada",F387&lt;&gt;0),"CEK",IF(AND(F386="tidak ada",F387&lt;&gt;0),"CEK",IF(SUM($F$347,$F$350,$F$353,$F$356,$F$359,$F$363,$F$367,$F$370,$F$373,$F$376,$F$379,$F$383,$F$387,$F$390,$F$393,$F$396,$F$399,$F$402,$F$405,$F$409)&gt;'INPUTAN DESA ....'!$F$118,"CEK",IF(F387="","Belum Terisi",""))))</f>
        <v/>
      </c>
      <c r="K387" s="42" t="str">
        <f>IF(AND(J387="CEK",SUM($F$347,$F$350,$F$353,$F$356,$F$359,$F$363,$F$367,$F$370,$F$373,$F$376,$F$379,$F$383,$F$387,$F$390,$F$393,$F$396,$F$399,$F$402,$F$405,$F$409)&gt;'INPUTAN DESA ....'!$F$118),"Total Seluruh Pekerja Tambang Gol A,B,C Tidak Lebih Besar dari Jumlah Penduduk di Desa",IF(AND(J387="CEK",$F$343="tidak ada",F387&lt;&gt;0),"Tidak Terdapat Kawasan Tambang (no. 66)",IF(AND(J387="CEK",F386="tidak ada",F387&lt;&gt;0),"Tidak Terdapat Tambang Batu Kapur",IF(AND(J387="CEK",F386="ada",F387&lt;=0),"Terdapat Tambang Batu Kapur",""))))</f>
        <v/>
      </c>
      <c r="L387" s="44"/>
      <c r="M387" s="853"/>
      <c r="N387" s="853"/>
      <c r="O387" s="853"/>
      <c r="P387" s="853"/>
      <c r="Q387" s="853"/>
      <c r="R387" s="853"/>
      <c r="S387" s="853"/>
      <c r="T387" s="853"/>
      <c r="U387" s="853"/>
      <c r="V387" s="853"/>
    </row>
    <row r="388" spans="1:22" s="2" customFormat="1" ht="30" customHeight="1" x14ac:dyDescent="0.25">
      <c r="A388" s="541"/>
      <c r="B388" s="242" t="s">
        <v>139</v>
      </c>
      <c r="C388" s="342" t="s">
        <v>1238</v>
      </c>
      <c r="D388" s="100">
        <f t="shared" si="25"/>
        <v>825</v>
      </c>
      <c r="E388" s="427" t="s">
        <v>171</v>
      </c>
      <c r="F388" s="697" t="s">
        <v>263</v>
      </c>
      <c r="G388" s="924"/>
      <c r="H388" s="922"/>
      <c r="I388" s="923"/>
      <c r="J388" s="198" t="str">
        <f>IF(F388="","Belum Terisi",IF(AND($F$343="tidak ada",F388&lt;&gt;"Tidak ada"),"CEK",IF(AND(F386="tidak ada",F388&lt;&gt;"tidak ada"),"CEK",IF(AND(F386="ada",F388="tidak ada"),"CEK",IF(F388="","Belum Terisi","")))))</f>
        <v/>
      </c>
      <c r="K388" s="42" t="str">
        <f>IF(AND(J388="CEK",$F$343="Tidak Ada",F388&lt;&gt;"tidak ada"),"Tidak Terdapat Kawasan Tambang di Desa (no.66)",IF(AND(J388="CEK",F386="Tidak Ada",F388&lt;&gt;"Tidak Ada"),"Tidak Ada Tambang Batu Kapur",IF(AND(J388="CEK",F386="Ada",F388="Tidak Ada"),"Terdapat Tambang Batu Kapur","")))</f>
        <v/>
      </c>
      <c r="L388" s="44"/>
      <c r="M388" s="21"/>
      <c r="N388" s="21"/>
      <c r="O388" s="21"/>
      <c r="P388" s="21"/>
      <c r="Q388" s="21"/>
      <c r="R388" s="21"/>
      <c r="S388" s="21"/>
      <c r="T388" s="21"/>
      <c r="U388" s="21"/>
      <c r="V388" s="21"/>
    </row>
    <row r="389" spans="1:22" s="2" customFormat="1" ht="30" customHeight="1" x14ac:dyDescent="0.25">
      <c r="A389" s="648">
        <f>A386+1</f>
        <v>80</v>
      </c>
      <c r="B389" s="363"/>
      <c r="C389" s="360" t="s">
        <v>1179</v>
      </c>
      <c r="D389" s="100">
        <f t="shared" si="25"/>
        <v>826</v>
      </c>
      <c r="E389" s="427" t="s">
        <v>171</v>
      </c>
      <c r="F389" s="693" t="s">
        <v>263</v>
      </c>
      <c r="G389" s="924"/>
      <c r="H389" s="922"/>
      <c r="I389" s="923"/>
      <c r="J389" s="198" t="str">
        <f>IF(AND($F$343="tidak ada",F389="ada"),"CEK",IF(F389="","Belum Terisi",""))</f>
        <v/>
      </c>
      <c r="K389" s="31" t="str">
        <f>IF(J389="CEK","Tidak Ada Kawasan Tambang (no. 66)","")</f>
        <v/>
      </c>
      <c r="L389" s="31"/>
      <c r="M389" s="21"/>
      <c r="N389" s="21"/>
      <c r="O389" s="21"/>
      <c r="P389" s="21"/>
      <c r="Q389" s="21"/>
      <c r="R389" s="21"/>
      <c r="S389" s="21"/>
      <c r="T389" s="21"/>
      <c r="U389" s="21"/>
      <c r="V389" s="21"/>
    </row>
    <row r="390" spans="1:22" s="27" customFormat="1" ht="30" customHeight="1" x14ac:dyDescent="0.25">
      <c r="A390" s="542"/>
      <c r="B390" s="242" t="s">
        <v>41</v>
      </c>
      <c r="C390" s="364" t="s">
        <v>1220</v>
      </c>
      <c r="D390" s="100">
        <f t="shared" si="25"/>
        <v>827</v>
      </c>
      <c r="E390" s="455" t="s">
        <v>33</v>
      </c>
      <c r="F390" s="749">
        <v>0</v>
      </c>
      <c r="G390" s="924"/>
      <c r="H390" s="922" t="s">
        <v>688</v>
      </c>
      <c r="I390" s="923"/>
      <c r="J390" s="198" t="str">
        <f>IF(AND($F$343="tidak ada",F390&lt;&gt;0),"CEK",IF(AND(F389="tidak ada",F390&lt;&gt;0),"CEK",IF(SUM($F$347,$F$350,$F$353,$F$356,$F$359,$F$363,$F$367,$F$370,$F$373,$F$376,$F$379,$F$383,$F$387,$F$390,$F$393,$F$396,$F$399,$F$402,$F$405,$F$409)&gt;'INPUTAN DESA ....'!$F$118,"CEK",IF(F390="","Belum Terisi",""))))</f>
        <v/>
      </c>
      <c r="K390" s="42" t="str">
        <f>IF(AND(J390="CEK",SUM($F$347,$F$350,$F$353,$F$356,$F$359,$F$363,$F$367,$F$370,$F$373,$F$376,$F$379,$F$383,$F$387,$F$390,$F$393,$F$396,$F$399,$F$402,$F$405,$F$409)&gt;'INPUTAN DESA ....'!$F$118),"Total Seluruh Pekerja Tambang Gol A,B,C Tidak Lebih Besar dari Jumlah Penduduk di Desa",IF(AND(J390="CEK",$F$343="tidak ada",F390&lt;&gt;0),"Tidak Terdapat Kawasan Tambang (no. 66)",IF(AND(J390="CEK",F389="tidak ada",F390&lt;&gt;0),"Tidak Terdapat Tambang Tanah Liat",IF(AND(J390="CEK",F389="ada",F390&lt;=0),"Terdapat Tambang Tanah Liat",""))))</f>
        <v/>
      </c>
      <c r="L390" s="44"/>
      <c r="M390" s="853"/>
      <c r="N390" s="853"/>
      <c r="O390" s="853"/>
      <c r="P390" s="853"/>
      <c r="Q390" s="853"/>
      <c r="R390" s="853"/>
      <c r="S390" s="853"/>
      <c r="T390" s="853"/>
      <c r="U390" s="853"/>
      <c r="V390" s="853"/>
    </row>
    <row r="391" spans="1:22" s="2" customFormat="1" ht="30" customHeight="1" x14ac:dyDescent="0.25">
      <c r="A391" s="541"/>
      <c r="B391" s="242" t="s">
        <v>139</v>
      </c>
      <c r="C391" s="342" t="s">
        <v>1239</v>
      </c>
      <c r="D391" s="100">
        <f t="shared" si="25"/>
        <v>828</v>
      </c>
      <c r="E391" s="427" t="s">
        <v>171</v>
      </c>
      <c r="F391" s="697" t="s">
        <v>263</v>
      </c>
      <c r="G391" s="924"/>
      <c r="H391" s="922"/>
      <c r="I391" s="923"/>
      <c r="J391" s="198" t="str">
        <f>IF(F391="","Belum Terisi",IF(AND($F$343="tidak ada",F391&lt;&gt;"Tidak ada"),"CEK",IF(AND(F389="tidak ada",F391&lt;&gt;"tidak ada"),"CEK",IF(AND(F389="ada",F391="tidak ada"),"CEK",IF(F391="","Belum Terisi","")))))</f>
        <v/>
      </c>
      <c r="K391" s="42" t="str">
        <f>IF(AND(J391="CEK",$F$343="Tidak Ada",F391&lt;&gt;"tidak ada"),"Tidak Terdapat Kawasan Tambang di Desa (no.66)",IF(AND(J391="CEK",F389="Tidak Ada",F391&lt;&gt;"Tidak Ada"),"Tidak Ada Tambang Tanah Liat",IF(AND(J391="CEK",F389="Ada",F391="Tidak Ada"),"Terdapat Tambang Tanah Liat","")))</f>
        <v/>
      </c>
      <c r="L391" s="44"/>
      <c r="M391" s="21"/>
      <c r="N391" s="21"/>
      <c r="O391" s="21"/>
      <c r="P391" s="21"/>
      <c r="Q391" s="21"/>
      <c r="R391" s="21"/>
      <c r="S391" s="21"/>
      <c r="T391" s="21"/>
      <c r="U391" s="21"/>
      <c r="V391" s="21"/>
    </row>
    <row r="392" spans="1:22" s="2" customFormat="1" ht="30" customHeight="1" x14ac:dyDescent="0.25">
      <c r="A392" s="648">
        <f>A389+1</f>
        <v>81</v>
      </c>
      <c r="B392" s="363"/>
      <c r="C392" s="360" t="s">
        <v>1180</v>
      </c>
      <c r="D392" s="100">
        <f t="shared" si="25"/>
        <v>829</v>
      </c>
      <c r="E392" s="427" t="s">
        <v>171</v>
      </c>
      <c r="F392" s="693" t="s">
        <v>263</v>
      </c>
      <c r="G392" s="924"/>
      <c r="H392" s="922"/>
      <c r="I392" s="923"/>
      <c r="J392" s="198" t="str">
        <f>IF(AND($F$343="tidak ada",F392="ada"),"CEK",IF(F392="","Belum Terisi",""))</f>
        <v/>
      </c>
      <c r="K392" s="31" t="str">
        <f>IF(J392="CEK","Tidak Ada Kawasan Tambang (no. 66)","")</f>
        <v/>
      </c>
      <c r="L392" s="43"/>
      <c r="M392" s="21"/>
      <c r="N392" s="21"/>
      <c r="O392" s="21"/>
      <c r="P392" s="21"/>
      <c r="Q392" s="21"/>
      <c r="R392" s="21"/>
      <c r="S392" s="21"/>
      <c r="T392" s="21"/>
      <c r="U392" s="21"/>
      <c r="V392" s="21"/>
    </row>
    <row r="393" spans="1:22" s="18" customFormat="1" ht="30" customHeight="1" x14ac:dyDescent="0.25">
      <c r="A393" s="542"/>
      <c r="B393" s="242" t="s">
        <v>41</v>
      </c>
      <c r="C393" s="365" t="s">
        <v>1221</v>
      </c>
      <c r="D393" s="100">
        <f t="shared" si="25"/>
        <v>830</v>
      </c>
      <c r="E393" s="505" t="s">
        <v>33</v>
      </c>
      <c r="F393" s="816">
        <v>0</v>
      </c>
      <c r="G393" s="924"/>
      <c r="H393" s="922" t="s">
        <v>688</v>
      </c>
      <c r="I393" s="923"/>
      <c r="J393" s="198" t="str">
        <f>IF(AND($F$343="tidak ada",F393&lt;&gt;0),"CEK",IF(AND(F392="tidak ada",F393&lt;&gt;0),"CEK",IF(SUM($F$347,$F$350,$F$353,$F$356,$F$359,$F$363,$F$367,$F$370,$F$373,$F$376,$F$379,$F$383,$F$387,$F$390,$F$393,$F$396,$F$399,$F$402,$F$405,$F$409)&gt;'INPUTAN DESA ....'!$F$118,"CEK",IF(F393="","Belum Terisi",""))))</f>
        <v/>
      </c>
      <c r="K393" s="42" t="str">
        <f>IF(AND(J393="CEK",SUM($F$347,$F$350,$F$353,$F$356,$F$359,$F$363,$F$367,$F$370,$F$373,$F$376,$F$379,$F$383,$F$387,$F$390,$F$393,$F$396,$F$399,$F$402,$F$405,$F$409)&gt;'INPUTAN DESA ....'!$F$118),"Total Seluruh Pekerja Tambang Gol A,B,C Tidak Lebih Besar dari Jumlah Penduduk di Desa",IF(AND(J393="CEK",$F$343="tidak ada",F393&lt;&gt;0),"Tidak Terdapat Kawasan Tambang (no. 66)",IF(AND(J393="CEK",F392="tidak ada",F393&lt;&gt;0),"Tidak Terdapat Tambang Pasir",IF(AND(J393="CEK",F392="ada",F393&lt;=0),"Terdapat Tambang Pasir",""))))</f>
        <v/>
      </c>
      <c r="L393" s="44"/>
      <c r="M393" s="854"/>
      <c r="N393" s="854"/>
      <c r="O393" s="854"/>
      <c r="P393" s="854"/>
      <c r="Q393" s="854"/>
      <c r="R393" s="854"/>
      <c r="S393" s="854"/>
      <c r="T393" s="854"/>
      <c r="U393" s="854"/>
      <c r="V393" s="854"/>
    </row>
    <row r="394" spans="1:22" s="2" customFormat="1" ht="30" customHeight="1" x14ac:dyDescent="0.25">
      <c r="A394" s="541"/>
      <c r="B394" s="242" t="s">
        <v>139</v>
      </c>
      <c r="C394" s="342" t="s">
        <v>1240</v>
      </c>
      <c r="D394" s="100">
        <f t="shared" si="25"/>
        <v>831</v>
      </c>
      <c r="E394" s="427" t="s">
        <v>171</v>
      </c>
      <c r="F394" s="697" t="s">
        <v>263</v>
      </c>
      <c r="G394" s="924"/>
      <c r="H394" s="922"/>
      <c r="I394" s="923"/>
      <c r="J394" s="198" t="str">
        <f>IF(F394="","Belum Terisi",IF(AND($F$343="tidak ada",F394&lt;&gt;"Tidak ada"),"CEK",IF(AND(F392="tidak ada",F394&lt;&gt;"tidak ada"),"CEK",IF(AND(F392="ada",F394="tidak ada"),"CEK",IF(F394="","Belum Terisi","")))))</f>
        <v/>
      </c>
      <c r="K394" s="42" t="str">
        <f>IF(AND(J394="CEK",$F$343="Tidak Ada",F394&lt;&gt;"tidak ada"),"Tidak Terdapat Kawasan Tambang di Desa (no.66)",IF(AND(J394="CEK",F392="Tidak Ada",F394&lt;&gt;"Tidak Ada"),"Tidak Ada Tambang Pasir",IF(AND(J394="CEK",F392="Ada",F394="Tidak Ada"),"Terdapat Tambang Pasir","")))</f>
        <v/>
      </c>
      <c r="L394" s="44"/>
      <c r="M394" s="21"/>
      <c r="N394" s="21"/>
      <c r="O394" s="21"/>
      <c r="P394" s="21"/>
      <c r="Q394" s="21"/>
      <c r="R394" s="21"/>
      <c r="S394" s="21"/>
      <c r="T394" s="21"/>
      <c r="U394" s="21"/>
      <c r="V394" s="21"/>
    </row>
    <row r="395" spans="1:22" s="2" customFormat="1" ht="30" customHeight="1" x14ac:dyDescent="0.25">
      <c r="A395" s="648">
        <f>A392+1</f>
        <v>82</v>
      </c>
      <c r="B395" s="363"/>
      <c r="C395" s="360" t="s">
        <v>1181</v>
      </c>
      <c r="D395" s="100">
        <f t="shared" si="25"/>
        <v>832</v>
      </c>
      <c r="E395" s="427" t="s">
        <v>171</v>
      </c>
      <c r="F395" s="693" t="s">
        <v>263</v>
      </c>
      <c r="G395" s="924"/>
      <c r="H395" s="922"/>
      <c r="I395" s="923"/>
      <c r="J395" s="198" t="str">
        <f>IF(AND($F$343="tidak ada",F395="ada"),"CEK",IF(F395="","Belum Terisi",""))</f>
        <v/>
      </c>
      <c r="K395" s="31" t="str">
        <f>IF(J395="CEK","Tidak Ada Kawasan Tambang (no. 66)","")</f>
        <v/>
      </c>
      <c r="L395" s="31"/>
      <c r="M395" s="21"/>
      <c r="N395" s="21"/>
      <c r="O395" s="21"/>
      <c r="P395" s="21"/>
      <c r="Q395" s="21"/>
      <c r="R395" s="21"/>
      <c r="S395" s="21"/>
      <c r="T395" s="21"/>
      <c r="U395" s="21"/>
      <c r="V395" s="21"/>
    </row>
    <row r="396" spans="1:22" s="18" customFormat="1" ht="30" customHeight="1" x14ac:dyDescent="0.25">
      <c r="A396" s="542"/>
      <c r="B396" s="242" t="s">
        <v>41</v>
      </c>
      <c r="C396" s="365" t="s">
        <v>1222</v>
      </c>
      <c r="D396" s="100">
        <f t="shared" si="25"/>
        <v>833</v>
      </c>
      <c r="E396" s="505" t="s">
        <v>33</v>
      </c>
      <c r="F396" s="816">
        <v>0</v>
      </c>
      <c r="G396" s="924"/>
      <c r="H396" s="922" t="s">
        <v>688</v>
      </c>
      <c r="I396" s="923"/>
      <c r="J396" s="198" t="str">
        <f>IF(AND($F$343="tidak ada",F396&lt;&gt;0),"CEK",IF(AND(F395="tidak ada",F396&lt;&gt;0),"CEK",IF(SUM($F$347,$F$350,$F$353,$F$356,$F$359,$F$363,$F$367,$F$370,$F$373,$F$376,$F$379,$F$383,$F$387,$F$390,$F$393,$F$396,$F$399,$F$402,$F$405,$F$409)&gt;'INPUTAN DESA ....'!$F$118,"CEK",IF(F396="","Belum Terisi",""))))</f>
        <v/>
      </c>
      <c r="K396" s="42" t="str">
        <f>IF(AND(J396="CEK",SUM($F$347,$F$350,$F$353,$F$356,$F$359,$F$363,$F$367,$F$370,$F$373,$F$376,$F$379,$F$383,$F$387,$F$390,$F$393,$F$396,$F$399,$F$402,$F$405,$F$409)&gt;'INPUTAN DESA ....'!$F$118),"Total Seluruh Pekerja Tambang Gol A,B,C Tidak Lebih Besar dari Jumlah Penduduk di Desa",IF(AND(J396="CEK",$F$343="tidak ada",F396&lt;&gt;0),"Tidak Terdapat Kawasan Tambang (no. 66)",IF(AND(J396="CEK",F395="tidak ada",F396&lt;&gt;0),"Tidak Terdapat Tambang Pasir Batu",IF(AND(J396="CEK",F395="ada",F396&lt;=0),"Terdapat Tambang Pasir Batu",""))))</f>
        <v/>
      </c>
      <c r="L396" s="44"/>
      <c r="M396" s="854"/>
      <c r="N396" s="854"/>
      <c r="O396" s="854"/>
      <c r="P396" s="854"/>
      <c r="Q396" s="854"/>
      <c r="R396" s="854"/>
      <c r="S396" s="854"/>
      <c r="T396" s="854"/>
      <c r="U396" s="854"/>
      <c r="V396" s="854"/>
    </row>
    <row r="397" spans="1:22" s="2" customFormat="1" ht="30" customHeight="1" x14ac:dyDescent="0.25">
      <c r="A397" s="541"/>
      <c r="B397" s="242" t="s">
        <v>139</v>
      </c>
      <c r="C397" s="342" t="s">
        <v>1241</v>
      </c>
      <c r="D397" s="100">
        <f t="shared" si="25"/>
        <v>834</v>
      </c>
      <c r="E397" s="427" t="s">
        <v>171</v>
      </c>
      <c r="F397" s="697" t="s">
        <v>263</v>
      </c>
      <c r="G397" s="924"/>
      <c r="H397" s="922"/>
      <c r="I397" s="923"/>
      <c r="J397" s="198" t="str">
        <f>IF(F397="","Belum Terisi",IF(AND($F$343="tidak ada",F397&lt;&gt;"Tidak ada"),"CEK",IF(AND(F395="tidak ada",F397&lt;&gt;"tidak ada"),"CEK",IF(AND(F395="ada",F397="tidak ada"),"CEK",IF(F397="","Belum Terisi","")))))</f>
        <v/>
      </c>
      <c r="K397" s="42" t="str">
        <f>IF(AND(J397="CEK",$F$343="Tidak Ada",F397&lt;&gt;"tidak ada"),"Tidak Terdapat Kawasan Tambang di Desa (no.66)",IF(AND(J397="CEK",F395="Tidak Ada",F397&lt;&gt;"Tidak Ada"),"Tidak Ada Tambang Pasir Batu",IF(AND(J397="CEK",F395="Ada",F397="Tidak Ada"),"Terdapat Tambang Pasir Batu","")))</f>
        <v/>
      </c>
      <c r="L397" s="44"/>
      <c r="M397" s="21"/>
      <c r="N397" s="21"/>
      <c r="O397" s="21"/>
      <c r="P397" s="21"/>
      <c r="Q397" s="21"/>
      <c r="R397" s="21"/>
      <c r="S397" s="21"/>
      <c r="T397" s="21"/>
      <c r="U397" s="21"/>
      <c r="V397" s="21"/>
    </row>
    <row r="398" spans="1:22" s="2" customFormat="1" ht="30" customHeight="1" x14ac:dyDescent="0.25">
      <c r="A398" s="648">
        <f>A395+1</f>
        <v>83</v>
      </c>
      <c r="B398" s="363"/>
      <c r="C398" s="360" t="s">
        <v>1182</v>
      </c>
      <c r="D398" s="100">
        <f t="shared" si="25"/>
        <v>835</v>
      </c>
      <c r="E398" s="427" t="s">
        <v>171</v>
      </c>
      <c r="F398" s="693" t="s">
        <v>263</v>
      </c>
      <c r="G398" s="924"/>
      <c r="H398" s="922"/>
      <c r="I398" s="923"/>
      <c r="J398" s="198" t="str">
        <f>IF(AND($F$343="tidak ada",F398="ada"),"CEK",IF(F398="","Belum Terisi",""))</f>
        <v/>
      </c>
      <c r="K398" s="31" t="str">
        <f>IF(J398="CEK","Tidak Ada Kawasan Tambang (no. 66)","")</f>
        <v/>
      </c>
      <c r="L398" s="43"/>
      <c r="M398" s="21"/>
      <c r="N398" s="21"/>
      <c r="O398" s="21"/>
      <c r="P398" s="21"/>
      <c r="Q398" s="21"/>
      <c r="R398" s="21"/>
      <c r="S398" s="21"/>
      <c r="T398" s="21"/>
      <c r="U398" s="21"/>
      <c r="V398" s="21"/>
    </row>
    <row r="399" spans="1:22" s="18" customFormat="1" ht="30" customHeight="1" x14ac:dyDescent="0.25">
      <c r="A399" s="542"/>
      <c r="B399" s="242" t="s">
        <v>41</v>
      </c>
      <c r="C399" s="365" t="s">
        <v>1223</v>
      </c>
      <c r="D399" s="100">
        <f t="shared" si="25"/>
        <v>836</v>
      </c>
      <c r="E399" s="505" t="s">
        <v>33</v>
      </c>
      <c r="F399" s="816">
        <v>0</v>
      </c>
      <c r="G399" s="924"/>
      <c r="H399" s="922" t="s">
        <v>688</v>
      </c>
      <c r="I399" s="923"/>
      <c r="J399" s="198" t="str">
        <f>IF(AND($F$343="tidak ada",F399&lt;&gt;0),"CEK",IF(AND(F398="tidak ada",F399&lt;&gt;0),"CEK",IF(SUM($F$347,$F$350,$F$353,$F$356,$F$359,$F$363,$F$367,$F$370,$F$373,$F$376,$F$379,$F$383,$F$387,$F$390,$F$393,$F$396,$F$399,$F$402,$F$405,$F$409)&gt;'INPUTAN DESA ....'!$F$118,"CEK",IF(F399="","Belum Terisi",""))))</f>
        <v/>
      </c>
      <c r="K399" s="42" t="str">
        <f>IF(AND(J399="CEK",SUM($F$347,$F$350,$F$353,$F$356,$F$359,$F$363,$F$367,$F$370,$F$373,$F$376,$F$379,$F$383,$F$387,$F$390,$F$393,$F$396,$F$399,$F$402,$F$405,$F$409)&gt;'INPUTAN DESA ....'!$F$118),"Total Seluruh Pekerja Tambang Gol A,B,C Tidak Lebih Besar dari Jumlah Penduduk di Desa",IF(AND(J399="CEK",$F$343="tidak ada",F399&lt;&gt;0),"Tidak Terdapat Kawasan Tambang (no. 66)",IF(AND(J399="CEK",F398="tidak ada",F399&lt;&gt;0),"Tidak Terdapat Tambang Batu Krikil",IF(AND(J399="CEK",F398="ada",F399&lt;=0),"Terdapat Tambang Batu Krikil",""))))</f>
        <v/>
      </c>
      <c r="L399" s="44"/>
      <c r="M399" s="854"/>
      <c r="N399" s="854"/>
      <c r="O399" s="854"/>
      <c r="P399" s="854"/>
      <c r="Q399" s="854"/>
      <c r="R399" s="854"/>
      <c r="S399" s="854"/>
      <c r="T399" s="854"/>
      <c r="U399" s="854"/>
      <c r="V399" s="854"/>
    </row>
    <row r="400" spans="1:22" s="2" customFormat="1" ht="30" customHeight="1" x14ac:dyDescent="0.25">
      <c r="A400" s="541"/>
      <c r="B400" s="242" t="s">
        <v>139</v>
      </c>
      <c r="C400" s="342" t="s">
        <v>1242</v>
      </c>
      <c r="D400" s="100">
        <f t="shared" si="25"/>
        <v>837</v>
      </c>
      <c r="E400" s="427" t="s">
        <v>171</v>
      </c>
      <c r="F400" s="697" t="s">
        <v>263</v>
      </c>
      <c r="G400" s="924"/>
      <c r="H400" s="922"/>
      <c r="I400" s="923"/>
      <c r="J400" s="198" t="str">
        <f>IF(F400="","Belum Terisi",IF(AND($F$343="tidak ada",F400&lt;&gt;"Tidak ada"),"CEK",IF(AND(F398="tidak ada",F400&lt;&gt;"tidak ada"),"CEK",IF(AND(F398="ada",F400="tidak ada"),"CEK",IF(F400="","Belum Terisi","")))))</f>
        <v/>
      </c>
      <c r="K400" s="42" t="str">
        <f>IF(AND(J400="CEK",$F$343="Tidak Ada",F400&lt;&gt;"tidak ada"),"Tidak Terdapat Kawasan Tambang di Desa (no.66)",IF(AND(J400="CEK",F398="Tidak Ada",F400&lt;&gt;"Tidak Ada"),"Tidak Ada Tambang Batu Krikil",IF(AND(J400="CEK",F398="Ada",F400="Tidak Ada"),"Terdapat Tambang Batu Krikil","")))</f>
        <v/>
      </c>
      <c r="L400" s="44"/>
      <c r="M400" s="21"/>
      <c r="N400" s="21"/>
      <c r="O400" s="21"/>
      <c r="P400" s="21"/>
      <c r="Q400" s="21"/>
      <c r="R400" s="21"/>
      <c r="S400" s="21"/>
      <c r="T400" s="21"/>
      <c r="U400" s="21"/>
      <c r="V400" s="21"/>
    </row>
    <row r="401" spans="1:22" s="2" customFormat="1" ht="30" customHeight="1" x14ac:dyDescent="0.25">
      <c r="A401" s="648">
        <f>A398+1</f>
        <v>84</v>
      </c>
      <c r="B401" s="363"/>
      <c r="C401" s="360" t="s">
        <v>1183</v>
      </c>
      <c r="D401" s="100">
        <f t="shared" si="25"/>
        <v>838</v>
      </c>
      <c r="E401" s="427" t="s">
        <v>171</v>
      </c>
      <c r="F401" s="693" t="s">
        <v>263</v>
      </c>
      <c r="G401" s="924"/>
      <c r="H401" s="922"/>
      <c r="I401" s="923"/>
      <c r="J401" s="198" t="str">
        <f>IF(AND($F$343="tidak ada",F401="ada"),"CEK",IF(F401="","Belum Terisi",""))</f>
        <v/>
      </c>
      <c r="K401" s="31" t="str">
        <f>IF(J401="CEK","Tidak Ada Kawasan Tambang (no. 66)","")</f>
        <v/>
      </c>
      <c r="L401" s="31"/>
      <c r="M401" s="21"/>
      <c r="N401" s="21"/>
      <c r="O401" s="21"/>
      <c r="P401" s="21"/>
      <c r="Q401" s="21"/>
      <c r="R401" s="21"/>
      <c r="S401" s="21"/>
      <c r="T401" s="21"/>
      <c r="U401" s="21"/>
      <c r="V401" s="21"/>
    </row>
    <row r="402" spans="1:22" s="18" customFormat="1" ht="30" customHeight="1" x14ac:dyDescent="0.25">
      <c r="A402" s="542"/>
      <c r="B402" s="242" t="s">
        <v>41</v>
      </c>
      <c r="C402" s="365" t="s">
        <v>1224</v>
      </c>
      <c r="D402" s="100">
        <f t="shared" si="25"/>
        <v>839</v>
      </c>
      <c r="E402" s="505" t="s">
        <v>33</v>
      </c>
      <c r="F402" s="816">
        <v>0</v>
      </c>
      <c r="G402" s="924"/>
      <c r="H402" s="922" t="s">
        <v>688</v>
      </c>
      <c r="I402" s="923"/>
      <c r="J402" s="198" t="str">
        <f>IF(AND($F$343="tidak ada",F402&lt;&gt;0),"CEK",IF(AND(F401="tidak ada",F402&lt;&gt;0),"CEK",IF(SUM($F$347,$F$350,$F$353,$F$356,$F$359,$F$363,$F$367,$F$370,$F$373,$F$376,$F$379,$F$383,$F$387,$F$390,$F$393,$F$396,$F$399,$F$402,$F$405,$F$409)&gt;'INPUTAN DESA ....'!$F$118,"CEK",IF(F402="","Belum Terisi",""))))</f>
        <v/>
      </c>
      <c r="K402" s="42" t="str">
        <f>IF(AND(J402="CEK",SUM($F$347,$F$350,$F$353,$F$356,$F$359,$F$363,$F$367,$F$370,$F$373,$F$376,$F$379,$F$383,$F$387,$F$390,$F$393,$F$396,$F$399,$F$402,$F$405,$F$409)&gt;'INPUTAN DESA ....'!$F$118),"Total Seluruh Pekerja Tambang Gol A,B,C Tidak Lebih Besar dari Jumlah Penduduk di Desa",IF(AND(J402="CEK",$F$343="tidak ada",F402&lt;&gt;0),"Tidak Terdapat Kawasan Tambang (no. 66)",IF(AND(J402="CEK",F401="tidak ada",F402&lt;&gt;0),"Tidak Terdapat Tambang Batu Kali",IF(AND(J402="CEK",F401="ada",F402&lt;=0),"Terdapat Tambang Batu Kali",""))))</f>
        <v/>
      </c>
      <c r="L402" s="44"/>
      <c r="M402" s="854"/>
      <c r="N402" s="854"/>
      <c r="O402" s="854"/>
      <c r="P402" s="854"/>
      <c r="Q402" s="854"/>
      <c r="R402" s="854"/>
      <c r="S402" s="854"/>
      <c r="T402" s="854"/>
      <c r="U402" s="854"/>
      <c r="V402" s="854"/>
    </row>
    <row r="403" spans="1:22" s="2" customFormat="1" ht="30" customHeight="1" x14ac:dyDescent="0.25">
      <c r="A403" s="541"/>
      <c r="B403" s="242" t="s">
        <v>139</v>
      </c>
      <c r="C403" s="342" t="s">
        <v>1243</v>
      </c>
      <c r="D403" s="100">
        <f t="shared" si="25"/>
        <v>840</v>
      </c>
      <c r="E403" s="427" t="s">
        <v>171</v>
      </c>
      <c r="F403" s="697" t="s">
        <v>263</v>
      </c>
      <c r="G403" s="924"/>
      <c r="H403" s="922"/>
      <c r="I403" s="923"/>
      <c r="J403" s="198" t="str">
        <f>IF(F403="","Belum Terisi",IF(AND($F$343="tidak ada",F403&lt;&gt;"Tidak ada"),"CEK",IF(AND(F401="tidak ada",F403&lt;&gt;"tidak ada"),"CEK",IF(AND(F401="ada",F403="tidak ada"),"CEK",IF(F403="","Belum Terisi","")))))</f>
        <v/>
      </c>
      <c r="K403" s="42" t="str">
        <f>IF(AND(J403="CEK",$F$343="Tidak Ada",F403&lt;&gt;"tidak ada"),"Tidak Terdapat Kawasan Tambang di Desa (no.66)",IF(AND(J403="CEK",F401="Tidak Ada",F403&lt;&gt;"Tidak Ada"),"Tidak Ada Tambang Batu Kali",IF(AND(J403="CEK",F401="Ada",F403="Tidak Ada"),"Terdapat Tambang Batu Kali","")))</f>
        <v/>
      </c>
      <c r="L403" s="44"/>
      <c r="M403" s="21"/>
      <c r="N403" s="21"/>
      <c r="O403" s="21"/>
      <c r="P403" s="21"/>
      <c r="Q403" s="21"/>
      <c r="R403" s="21"/>
      <c r="S403" s="21"/>
      <c r="T403" s="21"/>
      <c r="U403" s="21"/>
      <c r="V403" s="21"/>
    </row>
    <row r="404" spans="1:22" s="2" customFormat="1" ht="30" customHeight="1" x14ac:dyDescent="0.25">
      <c r="A404" s="648">
        <f>A401+1</f>
        <v>85</v>
      </c>
      <c r="B404" s="363"/>
      <c r="C404" s="360" t="s">
        <v>1184</v>
      </c>
      <c r="D404" s="100">
        <f t="shared" si="25"/>
        <v>841</v>
      </c>
      <c r="E404" s="427" t="s">
        <v>171</v>
      </c>
      <c r="F404" s="693" t="s">
        <v>263</v>
      </c>
      <c r="G404" s="924"/>
      <c r="H404" s="922"/>
      <c r="I404" s="923"/>
      <c r="J404" s="198" t="str">
        <f>IF(AND($F$343="tidak ada",F404="ada"),"CEK",IF(F404="","Belum Terisi",""))</f>
        <v/>
      </c>
      <c r="K404" s="31" t="str">
        <f>IF(J404="CEK","Tidak Ada Kawasan Tambang (no. 66)","")</f>
        <v/>
      </c>
      <c r="L404" s="43"/>
      <c r="M404" s="21"/>
      <c r="N404" s="21"/>
      <c r="O404" s="21"/>
      <c r="P404" s="21"/>
      <c r="Q404" s="21"/>
      <c r="R404" s="21"/>
      <c r="S404" s="21"/>
      <c r="T404" s="21"/>
      <c r="U404" s="21"/>
      <c r="V404" s="21"/>
    </row>
    <row r="405" spans="1:22" s="18" customFormat="1" ht="30" customHeight="1" x14ac:dyDescent="0.25">
      <c r="A405" s="542"/>
      <c r="B405" s="242" t="s">
        <v>41</v>
      </c>
      <c r="C405" s="365" t="s">
        <v>1225</v>
      </c>
      <c r="D405" s="100">
        <f t="shared" si="25"/>
        <v>842</v>
      </c>
      <c r="E405" s="505" t="s">
        <v>33</v>
      </c>
      <c r="F405" s="816">
        <v>0</v>
      </c>
      <c r="G405" s="924"/>
      <c r="H405" s="922" t="s">
        <v>688</v>
      </c>
      <c r="I405" s="923"/>
      <c r="J405" s="198" t="str">
        <f>IF(AND($F$343="tidak ada",F405&lt;&gt;0),"CEK",IF(AND(F404="tidak ada",F405&lt;&gt;0),"CEK",IF(SUM($F$347,$F$350,$F$353,$F$356,$F$359,$F$363,$F$367,$F$370,$F$373,$F$376,$F$379,$F$383,$F$387,$F$390,$F$393,$F$396,$F$399,$F$402,$F$405,$F$409)&gt;'INPUTAN DESA ....'!$F$118,"CEK",IF(F405="","Belum Terisi",""))))</f>
        <v/>
      </c>
      <c r="K405" s="42" t="str">
        <f>IF(AND(J405="CEK",SUM($F$347,$F$350,$F$353,$F$356,$F$359,$F$363,$F$367,$F$370,$F$373,$F$376,$F$379,$F$383,$F$387,$F$390,$F$393,$F$396,$F$399,$F$402,$F$405,$F$409)&gt;'INPUTAN DESA ....'!$F$118),"Total Seluruh Pekerja Tambang Gol A,B,C Tidak Lebih Besar dari Jumlah Penduduk di Desa",IF(AND(J405="CEK",$F$343="tidak ada",F405&lt;&gt;0),"Tidak Terdapat Kawasan Tambang (no. 66)",IF(AND(J405="CEK",F404="tidak ada",F405&lt;&gt;0),"Tidak Terdapat Tambang Tanah Uruk",IF(AND(J405="CEK",F404="ada",F405&lt;=0),"Terdapat Tambang Tanah Uruk",""))))</f>
        <v/>
      </c>
      <c r="L405" s="44"/>
      <c r="M405" s="854"/>
      <c r="N405" s="854"/>
      <c r="O405" s="854"/>
      <c r="P405" s="854"/>
      <c r="Q405" s="854"/>
      <c r="R405" s="854"/>
      <c r="S405" s="854"/>
      <c r="T405" s="854"/>
      <c r="U405" s="854"/>
      <c r="V405" s="854"/>
    </row>
    <row r="406" spans="1:22" s="2" customFormat="1" ht="30" customHeight="1" x14ac:dyDescent="0.25">
      <c r="A406" s="541"/>
      <c r="B406" s="242" t="s">
        <v>139</v>
      </c>
      <c r="C406" s="342" t="s">
        <v>1244</v>
      </c>
      <c r="D406" s="100">
        <f t="shared" si="25"/>
        <v>843</v>
      </c>
      <c r="E406" s="427" t="s">
        <v>171</v>
      </c>
      <c r="F406" s="697" t="s">
        <v>263</v>
      </c>
      <c r="G406" s="924"/>
      <c r="H406" s="922"/>
      <c r="I406" s="923"/>
      <c r="J406" s="198" t="str">
        <f>IF(F406="","Belum Terisi",IF(AND($F$343="tidak ada",F406&lt;&gt;"Tidak ada"),"CEK",IF(AND(F404="tidak ada",F406&lt;&gt;"tidak ada"),"CEK",IF(AND(F404="ada",F406="tidak ada"),"CEK",IF(F406="","Belum Terisi","")))))</f>
        <v/>
      </c>
      <c r="K406" s="42" t="str">
        <f>IF(AND(J406="CEK",$F$343="Tidak Ada",F406&lt;&gt;"tidak ada"),"Tidak Terdapat Kawasan Tambang di Desa (no.66)",IF(AND(J406="CEK",F404="Tidak Ada",F406&lt;&gt;"Tidak Ada"),"Tidak Ada Tambang Tanah Uruk",IF(AND(J406="CEK",F404="Ada",F406="Tidak Ada"),"Terdapat Tambang Tanah Uruk","")))</f>
        <v/>
      </c>
      <c r="L406" s="44"/>
      <c r="M406" s="21"/>
      <c r="N406" s="21"/>
      <c r="O406" s="21"/>
      <c r="P406" s="21"/>
      <c r="Q406" s="21"/>
      <c r="R406" s="21"/>
      <c r="S406" s="21"/>
      <c r="T406" s="21"/>
      <c r="U406" s="21"/>
      <c r="V406" s="21"/>
    </row>
    <row r="407" spans="1:22" s="2" customFormat="1" ht="30" customHeight="1" x14ac:dyDescent="0.25">
      <c r="A407" s="648">
        <f>A404+1</f>
        <v>86</v>
      </c>
      <c r="B407" s="363"/>
      <c r="C407" s="360" t="s">
        <v>1185</v>
      </c>
      <c r="D407" s="100">
        <f t="shared" si="25"/>
        <v>844</v>
      </c>
      <c r="E407" s="427" t="s">
        <v>171</v>
      </c>
      <c r="F407" s="693" t="s">
        <v>263</v>
      </c>
      <c r="G407" s="924"/>
      <c r="H407" s="922"/>
      <c r="I407" s="923"/>
      <c r="J407" s="198" t="str">
        <f>IF(AND($F$343="tidak ada",F407="ada"),"CEK",IF(F407="","Belum Terisi",""))</f>
        <v/>
      </c>
      <c r="K407" s="31" t="str">
        <f>IF(J407="CEK","Tidak Ada Kawasan Tambang (no. 66)","")</f>
        <v/>
      </c>
      <c r="L407" s="31"/>
      <c r="M407" s="21"/>
      <c r="N407" s="21"/>
      <c r="O407" s="21"/>
      <c r="P407" s="21"/>
      <c r="Q407" s="21"/>
      <c r="R407" s="21"/>
      <c r="S407" s="21"/>
      <c r="T407" s="21"/>
      <c r="U407" s="21"/>
      <c r="V407" s="21"/>
    </row>
    <row r="408" spans="1:22" s="2" customFormat="1" ht="30" customHeight="1" x14ac:dyDescent="0.25">
      <c r="A408" s="542"/>
      <c r="B408" s="242" t="s">
        <v>41</v>
      </c>
      <c r="C408" s="342" t="s">
        <v>1198</v>
      </c>
      <c r="D408" s="100">
        <f t="shared" si="25"/>
        <v>845</v>
      </c>
      <c r="E408" s="427" t="s">
        <v>174</v>
      </c>
      <c r="F408" s="694" t="s">
        <v>240</v>
      </c>
      <c r="G408" s="924"/>
      <c r="H408" s="922"/>
      <c r="I408" s="923"/>
      <c r="J408" s="198" t="str">
        <f>IF(F408="","Belum Terisi",IF(AND($F$343="tidak ada",F407&lt;&gt;"Tidak ada"),"CEK",IF(AND(F407="tidak ada",F408&lt;&gt;"-"),"CEK",IF(AND(F407="ada",F408="-"),"CEK",""))))</f>
        <v/>
      </c>
      <c r="K408" s="42" t="str">
        <f>IF(J408="CEK",F407&amp;" Tambang Gol C Lainnya","")</f>
        <v/>
      </c>
      <c r="L408" s="44"/>
      <c r="M408" s="21"/>
      <c r="N408" s="21"/>
      <c r="O408" s="21"/>
      <c r="P408" s="21"/>
      <c r="Q408" s="21"/>
      <c r="R408" s="21"/>
      <c r="S408" s="21"/>
      <c r="T408" s="21"/>
      <c r="U408" s="21"/>
      <c r="V408" s="21"/>
    </row>
    <row r="409" spans="1:22" s="18" customFormat="1" ht="30" customHeight="1" x14ac:dyDescent="0.25">
      <c r="A409" s="542"/>
      <c r="B409" s="242" t="s">
        <v>139</v>
      </c>
      <c r="C409" s="365" t="s">
        <v>1232</v>
      </c>
      <c r="D409" s="100">
        <f t="shared" si="25"/>
        <v>846</v>
      </c>
      <c r="E409" s="505" t="s">
        <v>33</v>
      </c>
      <c r="F409" s="816">
        <v>0</v>
      </c>
      <c r="G409" s="924"/>
      <c r="H409" s="922" t="s">
        <v>688</v>
      </c>
      <c r="I409" s="923"/>
      <c r="J409" s="198" t="str">
        <f>IF(AND($F$343="tidak ada",F409&lt;&gt;0),"CEK",IF(AND(F408="tidak ada",F409&lt;&gt;0),"CEK",IF(SUM($F$347,$F$350,$F$353,$F$356,$F$359,$F$363,$F$367,$F$370,$F$373,$F$376,$F$379,$F$383,$F$387,$F$390,$F$393,$F$396,$F$399,$F$402,$F$405,$F$409)&gt;'INPUTAN DESA ....'!$F$118,"CEK",IF(F409="","Belum Terisi",""))))</f>
        <v/>
      </c>
      <c r="K409" s="42" t="str">
        <f>IF(AND(J409="CEK",SUM($F$347,$F$350,$F$353,$F$356,$F$359,$F$363,$F$367,$F$370,$F$373,$F$376,$F$379,$F$383,$F$387,$F$390,$F$393,$F$396,$F$399,$F$402,$F$405,$F$409)&gt;'INPUTAN DESA ....'!$F$118),"Total Seluruh Pekerja Tambang Gol A,B,C Tidak Lebih Besar dari Jumlah Penduduk di Desa",IF(AND(J409="CEK",$F$343="tidak ada",F409&lt;&gt;0),"Tidak Terdapat Kawasan Tambang (no. 66)",IF(AND(J409="CEK",F408="tidak ada",F409&lt;&gt;0),"Tidak Terdapat Tambang Gol C Lainnya",IF(AND(J409="CEK",F408="ada",F409&lt;=0),"Terdapat Tambang Gol C Lainnya",""))))</f>
        <v/>
      </c>
      <c r="L409" s="44"/>
      <c r="M409" s="854"/>
      <c r="N409" s="854"/>
      <c r="O409" s="854"/>
      <c r="P409" s="854"/>
      <c r="Q409" s="854"/>
      <c r="R409" s="854"/>
      <c r="S409" s="854"/>
      <c r="T409" s="854"/>
      <c r="U409" s="854"/>
      <c r="V409" s="854"/>
    </row>
    <row r="410" spans="1:22" s="2" customFormat="1" ht="30" customHeight="1" x14ac:dyDescent="0.25">
      <c r="A410" s="541"/>
      <c r="B410" s="242" t="s">
        <v>251</v>
      </c>
      <c r="C410" s="342" t="s">
        <v>1255</v>
      </c>
      <c r="D410" s="100">
        <f t="shared" si="25"/>
        <v>847</v>
      </c>
      <c r="E410" s="427" t="s">
        <v>171</v>
      </c>
      <c r="F410" s="697" t="s">
        <v>263</v>
      </c>
      <c r="G410" s="924"/>
      <c r="H410" s="922"/>
      <c r="I410" s="923"/>
      <c r="J410" s="198" t="str">
        <f>IF(F410="","Belum Terisi",IF(AND($F$343="tidak ada",F410&lt;&gt;"Tidak ada"),"CEK",IF(AND(F408="tidak ada",F410&lt;&gt;"tidak ada"),"CEK",IF(AND(F408="ada",F410="tidak ada"),"CEK",IF(F410="","Belum Terisi","")))))</f>
        <v/>
      </c>
      <c r="K410" s="42" t="str">
        <f>IF(AND(J410="CEK",$F$343="Tidak Ada",F410&lt;&gt;"tidak ada"),"Tidak Terdapat Kawasan Tambang di Desa (no.66)",IF(AND(J410="CEK",F408="Tidak Ada",F410&lt;&gt;"Tidak Ada"),"Tidak Ada Tambang Gol C Lainnya",IF(AND(J410="CEK",F408="Ada",F410="Tidak Ada"),"Terdapat Tambang Gol C Lainnya","")))</f>
        <v/>
      </c>
      <c r="L410" s="44"/>
      <c r="M410" s="21"/>
      <c r="N410" s="21"/>
      <c r="O410" s="21"/>
      <c r="P410" s="21"/>
      <c r="Q410" s="21"/>
      <c r="R410" s="21"/>
      <c r="S410" s="21"/>
      <c r="T410" s="21"/>
      <c r="U410" s="21"/>
      <c r="V410" s="21"/>
    </row>
    <row r="411" spans="1:22" s="2" customFormat="1" ht="30" customHeight="1" x14ac:dyDescent="0.25">
      <c r="A411" s="559" t="s">
        <v>156</v>
      </c>
      <c r="B411" s="357"/>
      <c r="C411" s="356"/>
      <c r="D411" s="428"/>
      <c r="E411" s="429"/>
      <c r="F411" s="714"/>
      <c r="G411" s="924"/>
      <c r="H411" s="922" t="s">
        <v>568</v>
      </c>
      <c r="I411" s="923"/>
      <c r="J411" s="98"/>
      <c r="K411" s="31"/>
      <c r="L411" s="43"/>
      <c r="M411" s="21"/>
      <c r="N411" s="21"/>
      <c r="O411" s="21"/>
      <c r="P411" s="21"/>
      <c r="Q411" s="21"/>
      <c r="R411" s="21"/>
      <c r="S411" s="21"/>
      <c r="T411" s="21"/>
      <c r="U411" s="21"/>
      <c r="V411" s="21"/>
    </row>
    <row r="412" spans="1:22" s="2" customFormat="1" ht="30" customHeight="1" x14ac:dyDescent="0.25">
      <c r="A412" s="648">
        <f>A407+1</f>
        <v>87</v>
      </c>
      <c r="B412" s="363"/>
      <c r="C412" s="360" t="s">
        <v>1186</v>
      </c>
      <c r="D412" s="100">
        <f>D410+1</f>
        <v>848</v>
      </c>
      <c r="E412" s="427" t="s">
        <v>171</v>
      </c>
      <c r="F412" s="693" t="s">
        <v>263</v>
      </c>
      <c r="G412" s="924"/>
      <c r="H412" s="922" t="s">
        <v>569</v>
      </c>
      <c r="I412" s="923"/>
      <c r="J412" s="198" t="str">
        <f>IF(LEN(F412)&gt;0,"","Belum Terisi")</f>
        <v/>
      </c>
      <c r="K412" s="31"/>
      <c r="L412" s="43"/>
      <c r="M412" s="21"/>
      <c r="N412" s="21"/>
      <c r="O412" s="21"/>
      <c r="P412" s="21"/>
      <c r="Q412" s="21"/>
      <c r="R412" s="21"/>
      <c r="S412" s="21"/>
      <c r="T412" s="21"/>
      <c r="U412" s="21"/>
      <c r="V412" s="21"/>
    </row>
    <row r="413" spans="1:22" s="2" customFormat="1" ht="30" customHeight="1" x14ac:dyDescent="0.25">
      <c r="A413" s="542"/>
      <c r="B413" s="242" t="s">
        <v>41</v>
      </c>
      <c r="C413" s="342" t="s">
        <v>1201</v>
      </c>
      <c r="D413" s="100">
        <f t="shared" ref="D413:D457" si="26">D412+1</f>
        <v>849</v>
      </c>
      <c r="E413" s="427" t="s">
        <v>171</v>
      </c>
      <c r="F413" s="694" t="s">
        <v>263</v>
      </c>
      <c r="G413" s="924"/>
      <c r="H413" s="922"/>
      <c r="I413" s="923"/>
      <c r="J413" s="198" t="str">
        <f>IF(AND(F412="tidak ada",F413&lt;&gt;"tidak ada"),"CEK",IF(AND(F412="Ada",F413="Tidak Ada"),"CEK",IF(F413="","Belum Terisi","")))</f>
        <v/>
      </c>
      <c r="K413" s="42" t="str">
        <f>IF(F413="","",IF(J413="CEK",F412&amp;" Perkebunan Karet",""))</f>
        <v/>
      </c>
      <c r="L413" s="44"/>
      <c r="M413" s="21"/>
      <c r="N413" s="21"/>
      <c r="O413" s="21"/>
      <c r="P413" s="21"/>
      <c r="Q413" s="21"/>
      <c r="R413" s="21"/>
      <c r="S413" s="21"/>
      <c r="T413" s="21"/>
      <c r="U413" s="21"/>
      <c r="V413" s="21"/>
    </row>
    <row r="414" spans="1:22" s="2" customFormat="1" ht="30" customHeight="1" x14ac:dyDescent="0.25">
      <c r="A414" s="542"/>
      <c r="B414" s="242" t="s">
        <v>139</v>
      </c>
      <c r="C414" s="342" t="s">
        <v>1245</v>
      </c>
      <c r="D414" s="100">
        <f t="shared" si="26"/>
        <v>850</v>
      </c>
      <c r="E414" s="427" t="s">
        <v>188</v>
      </c>
      <c r="F414" s="775">
        <v>0</v>
      </c>
      <c r="G414" s="924"/>
      <c r="H414" s="922" t="s">
        <v>567</v>
      </c>
      <c r="I414" s="923"/>
      <c r="J414" s="198" t="str">
        <f>IF(AND(F412="tidak ada",F414&lt;&gt;0),"CEK",IF(AND(F412="Ada",F414=0),"CEK",IF(F414="","Belum Terisi","")))</f>
        <v/>
      </c>
      <c r="K414" s="42" t="str">
        <f>IF(F413="","",IF(J414="CEK",F412&amp;" Perkebunan Karet",""))</f>
        <v/>
      </c>
      <c r="L414" s="44"/>
      <c r="M414" s="21"/>
      <c r="N414" s="21"/>
      <c r="O414" s="21"/>
      <c r="P414" s="21"/>
      <c r="Q414" s="21"/>
      <c r="R414" s="21"/>
      <c r="S414" s="21"/>
      <c r="T414" s="21"/>
      <c r="U414" s="21"/>
      <c r="V414" s="21"/>
    </row>
    <row r="415" spans="1:22" s="2" customFormat="1" ht="30" customHeight="1" x14ac:dyDescent="0.25">
      <c r="A415" s="542"/>
      <c r="B415" s="242" t="s">
        <v>251</v>
      </c>
      <c r="C415" s="364" t="s">
        <v>2521</v>
      </c>
      <c r="D415" s="100">
        <f t="shared" si="26"/>
        <v>851</v>
      </c>
      <c r="E415" s="427" t="s">
        <v>171</v>
      </c>
      <c r="F415" s="694" t="s">
        <v>263</v>
      </c>
      <c r="G415" s="924"/>
      <c r="H415" s="922"/>
      <c r="I415" s="923"/>
      <c r="J415" s="198" t="str">
        <f>IF(AND(F412="tidak ada",F415&lt;&gt;"tidak ada"),"CEK",IF(AND(F412="Ada",F415="Tidak Ada"),"CEK",IF(F415="","Belum Terisi","")))</f>
        <v/>
      </c>
      <c r="K415" s="42" t="str">
        <f>IF(F415="","",IF(J415="CEK",F412&amp;" Perkebunan Karet",""))</f>
        <v/>
      </c>
      <c r="L415" s="44"/>
      <c r="M415" s="21"/>
      <c r="N415" s="21"/>
      <c r="O415" s="21"/>
      <c r="P415" s="21"/>
      <c r="Q415" s="21"/>
      <c r="R415" s="21"/>
      <c r="S415" s="21"/>
      <c r="T415" s="21"/>
      <c r="U415" s="21"/>
      <c r="V415" s="21"/>
    </row>
    <row r="416" spans="1:22" s="2" customFormat="1" ht="30" customHeight="1" x14ac:dyDescent="0.25">
      <c r="A416" s="541"/>
      <c r="B416" s="354" t="s">
        <v>255</v>
      </c>
      <c r="C416" s="364" t="s">
        <v>1257</v>
      </c>
      <c r="D416" s="100">
        <f t="shared" si="26"/>
        <v>852</v>
      </c>
      <c r="E416" s="427" t="s">
        <v>174</v>
      </c>
      <c r="F416" s="697" t="s">
        <v>240</v>
      </c>
      <c r="G416" s="924"/>
      <c r="H416" s="922"/>
      <c r="I416" s="923"/>
      <c r="J416" s="198" t="str">
        <f>IF(AND(F412="tidak ada",F416&lt;&gt;"-"),"CEK",IF(AND(F412="Ada",F416="-"),"CEK",IF(F416="","Belum Terisi","")))</f>
        <v/>
      </c>
      <c r="K416" s="42" t="str">
        <f>IF(F416="","",IF(J416="CEK",F412&amp;" Perkebunan Karet",""))</f>
        <v/>
      </c>
      <c r="L416" s="44"/>
      <c r="M416" s="21"/>
      <c r="N416" s="21"/>
      <c r="O416" s="21"/>
      <c r="P416" s="21"/>
      <c r="Q416" s="21"/>
      <c r="R416" s="21"/>
      <c r="S416" s="21"/>
      <c r="T416" s="21"/>
      <c r="U416" s="21"/>
      <c r="V416" s="21"/>
    </row>
    <row r="417" spans="1:22" s="2" customFormat="1" ht="30" customHeight="1" x14ac:dyDescent="0.25">
      <c r="A417" s="648">
        <f>A412+1</f>
        <v>88</v>
      </c>
      <c r="B417" s="363"/>
      <c r="C417" s="360" t="s">
        <v>1187</v>
      </c>
      <c r="D417" s="100">
        <f t="shared" si="26"/>
        <v>853</v>
      </c>
      <c r="E417" s="427" t="s">
        <v>171</v>
      </c>
      <c r="F417" s="693" t="s">
        <v>263</v>
      </c>
      <c r="G417" s="924"/>
      <c r="H417" s="922"/>
      <c r="I417" s="923"/>
      <c r="J417" s="198" t="str">
        <f>IF(LEN(F417)&gt;0,"","Belum Terisi")</f>
        <v/>
      </c>
      <c r="K417" s="31"/>
      <c r="L417" s="43"/>
      <c r="M417" s="21"/>
      <c r="N417" s="21"/>
      <c r="O417" s="21"/>
      <c r="P417" s="21"/>
      <c r="Q417" s="21"/>
      <c r="R417" s="21"/>
      <c r="S417" s="21"/>
      <c r="T417" s="21"/>
      <c r="U417" s="21"/>
      <c r="V417" s="21"/>
    </row>
    <row r="418" spans="1:22" s="18" customFormat="1" ht="30" customHeight="1" x14ac:dyDescent="0.25">
      <c r="A418" s="542"/>
      <c r="B418" s="242" t="s">
        <v>41</v>
      </c>
      <c r="C418" s="365" t="s">
        <v>1202</v>
      </c>
      <c r="D418" s="100">
        <f t="shared" si="26"/>
        <v>854</v>
      </c>
      <c r="E418" s="505" t="s">
        <v>171</v>
      </c>
      <c r="F418" s="768" t="s">
        <v>263</v>
      </c>
      <c r="G418" s="924"/>
      <c r="H418" s="922"/>
      <c r="I418" s="923"/>
      <c r="J418" s="198" t="str">
        <f>IF(AND(F417="tidak ada",F418&lt;&gt;"tidak ada"),"CEK",IF(AND(F417="Ada",F418="Tidak Ada"),"CEK",IF(F418="","Belum Terisi","")))</f>
        <v/>
      </c>
      <c r="K418" s="42" t="str">
        <f>IF(F418="","",IF(J418="CEK",F417&amp;" Perkebunan Kelapa Sawit",""))</f>
        <v/>
      </c>
      <c r="L418" s="44"/>
      <c r="M418" s="854"/>
      <c r="N418" s="854"/>
      <c r="O418" s="854"/>
      <c r="P418" s="854"/>
      <c r="Q418" s="854"/>
      <c r="R418" s="854"/>
      <c r="S418" s="854"/>
      <c r="T418" s="854"/>
      <c r="U418" s="854"/>
      <c r="V418" s="854"/>
    </row>
    <row r="419" spans="1:22" s="2" customFormat="1" ht="30" customHeight="1" x14ac:dyDescent="0.25">
      <c r="A419" s="542"/>
      <c r="B419" s="242" t="s">
        <v>139</v>
      </c>
      <c r="C419" s="342" t="s">
        <v>1246</v>
      </c>
      <c r="D419" s="100">
        <f t="shared" si="26"/>
        <v>855</v>
      </c>
      <c r="E419" s="427" t="s">
        <v>188</v>
      </c>
      <c r="F419" s="775">
        <v>0</v>
      </c>
      <c r="G419" s="924"/>
      <c r="H419" s="922" t="s">
        <v>567</v>
      </c>
      <c r="I419" s="923"/>
      <c r="J419" s="198" t="str">
        <f>IF(AND(F417="tidak ada",F419&lt;&gt;0),"CEK",IF(AND(F417="Ada",F419=0),"CEK",IF(F419="","Belum Terisi","")))</f>
        <v/>
      </c>
      <c r="K419" s="42" t="str">
        <f>IF(F418="","",IF(J419="CEK",F417&amp;" Perkebunan Kelapa Sawit",""))</f>
        <v/>
      </c>
      <c r="L419" s="44"/>
      <c r="M419" s="21"/>
      <c r="N419" s="21"/>
      <c r="O419" s="21"/>
      <c r="P419" s="21"/>
      <c r="Q419" s="21"/>
      <c r="R419" s="21"/>
      <c r="S419" s="21"/>
      <c r="T419" s="21"/>
      <c r="U419" s="21"/>
      <c r="V419" s="21"/>
    </row>
    <row r="420" spans="1:22" s="2" customFormat="1" ht="30" customHeight="1" x14ac:dyDescent="0.25">
      <c r="A420" s="542"/>
      <c r="B420" s="242" t="s">
        <v>251</v>
      </c>
      <c r="C420" s="364" t="s">
        <v>2774</v>
      </c>
      <c r="D420" s="100">
        <f t="shared" si="26"/>
        <v>856</v>
      </c>
      <c r="E420" s="427" t="s">
        <v>171</v>
      </c>
      <c r="F420" s="694" t="s">
        <v>263</v>
      </c>
      <c r="G420" s="924"/>
      <c r="H420" s="922"/>
      <c r="I420" s="923"/>
      <c r="J420" s="198" t="str">
        <f>IF(AND(F417="tidak ada",F420&lt;&gt;"tidak ada"),"CEK",IF(AND(F417="Ada",F420="Tidak Ada"),"CEK",IF(F420="","Belum Terisi","")))</f>
        <v/>
      </c>
      <c r="K420" s="42" t="str">
        <f>IF(F420="","",IF(J420="CEK",F417&amp;" Perkebunan Kelapa Sawit",""))</f>
        <v/>
      </c>
      <c r="L420" s="44"/>
      <c r="M420" s="21"/>
      <c r="N420" s="21"/>
      <c r="O420" s="21"/>
      <c r="P420" s="21"/>
      <c r="Q420" s="21"/>
      <c r="R420" s="21"/>
      <c r="S420" s="21"/>
      <c r="T420" s="21"/>
      <c r="U420" s="21"/>
      <c r="V420" s="21"/>
    </row>
    <row r="421" spans="1:22" s="2" customFormat="1" ht="30" customHeight="1" x14ac:dyDescent="0.25">
      <c r="A421" s="541"/>
      <c r="B421" s="354" t="s">
        <v>255</v>
      </c>
      <c r="C421" s="364" t="s">
        <v>1258</v>
      </c>
      <c r="D421" s="100">
        <f t="shared" si="26"/>
        <v>857</v>
      </c>
      <c r="E421" s="427" t="s">
        <v>174</v>
      </c>
      <c r="F421" s="697" t="s">
        <v>240</v>
      </c>
      <c r="G421" s="924"/>
      <c r="H421" s="922"/>
      <c r="I421" s="923"/>
      <c r="J421" s="198" t="str">
        <f>IF(AND(F417="tidak ada",F421&lt;&gt;"-"),"CEK",IF(AND(F417="Ada",F421="-"),"CEK",IF(F421="","Belum Terisi","")))</f>
        <v/>
      </c>
      <c r="K421" s="42" t="str">
        <f>IF(F421="","",IF(J421="CEK",F417&amp;" Perkebunan Kelapa Sawit",""))</f>
        <v/>
      </c>
      <c r="L421" s="44"/>
      <c r="M421" s="21"/>
      <c r="N421" s="21"/>
      <c r="O421" s="21"/>
      <c r="P421" s="21"/>
      <c r="Q421" s="21"/>
      <c r="R421" s="21"/>
      <c r="S421" s="21"/>
      <c r="T421" s="21"/>
      <c r="U421" s="21"/>
      <c r="V421" s="21"/>
    </row>
    <row r="422" spans="1:22" s="2" customFormat="1" ht="30" customHeight="1" x14ac:dyDescent="0.25">
      <c r="A422" s="648">
        <f>A417+1</f>
        <v>89</v>
      </c>
      <c r="B422" s="363"/>
      <c r="C422" s="360" t="s">
        <v>1188</v>
      </c>
      <c r="D422" s="100">
        <f t="shared" si="26"/>
        <v>858</v>
      </c>
      <c r="E422" s="427" t="s">
        <v>171</v>
      </c>
      <c r="F422" s="693" t="s">
        <v>263</v>
      </c>
      <c r="G422" s="924"/>
      <c r="H422" s="922"/>
      <c r="I422" s="923"/>
      <c r="J422" s="198" t="str">
        <f>IF(LEN(F422)&gt;0,"","Belum Terisi")</f>
        <v/>
      </c>
      <c r="K422" s="31"/>
      <c r="L422" s="31"/>
      <c r="M422" s="21"/>
      <c r="N422" s="21"/>
      <c r="O422" s="21"/>
      <c r="P422" s="21"/>
      <c r="Q422" s="21"/>
      <c r="R422" s="21"/>
      <c r="S422" s="21"/>
      <c r="T422" s="21"/>
      <c r="U422" s="21"/>
      <c r="V422" s="21"/>
    </row>
    <row r="423" spans="1:22" s="2" customFormat="1" ht="30" customHeight="1" x14ac:dyDescent="0.25">
      <c r="A423" s="542"/>
      <c r="B423" s="242" t="s">
        <v>41</v>
      </c>
      <c r="C423" s="342" t="s">
        <v>1203</v>
      </c>
      <c r="D423" s="100">
        <f t="shared" si="26"/>
        <v>859</v>
      </c>
      <c r="E423" s="427" t="s">
        <v>171</v>
      </c>
      <c r="F423" s="694" t="s">
        <v>263</v>
      </c>
      <c r="G423" s="924"/>
      <c r="H423" s="922"/>
      <c r="I423" s="923"/>
      <c r="J423" s="198" t="str">
        <f>IF(AND(F422="tidak ada",F423&lt;&gt;"tidak ada"),"CEK",IF(AND(F422="Ada",F423="Tidak Ada"),"CEK",IF(F423="","Belum Terisi","")))</f>
        <v/>
      </c>
      <c r="K423" s="42" t="str">
        <f>IF(F423="","",IF(J423="CEK",F422&amp;" Perkebunan Cacao/ Coklat",""))</f>
        <v/>
      </c>
      <c r="L423" s="44"/>
      <c r="M423" s="21"/>
      <c r="N423" s="21"/>
      <c r="O423" s="21"/>
      <c r="P423" s="21"/>
      <c r="Q423" s="21"/>
      <c r="R423" s="21"/>
      <c r="S423" s="21"/>
      <c r="T423" s="21"/>
      <c r="U423" s="21"/>
      <c r="V423" s="21"/>
    </row>
    <row r="424" spans="1:22" s="2" customFormat="1" ht="30" customHeight="1" x14ac:dyDescent="0.25">
      <c r="A424" s="542"/>
      <c r="B424" s="242" t="s">
        <v>139</v>
      </c>
      <c r="C424" s="342" t="s">
        <v>1247</v>
      </c>
      <c r="D424" s="100">
        <f t="shared" si="26"/>
        <v>860</v>
      </c>
      <c r="E424" s="427" t="s">
        <v>188</v>
      </c>
      <c r="F424" s="775">
        <v>0</v>
      </c>
      <c r="G424" s="924"/>
      <c r="H424" s="922" t="s">
        <v>567</v>
      </c>
      <c r="I424" s="923"/>
      <c r="J424" s="198" t="str">
        <f>IF(AND(F422="tidak ada",F424&lt;&gt;0),"CEK",IF(AND(F422="Ada",F424=0),"CEK",IF(F424="","Belum Terisi","")))</f>
        <v/>
      </c>
      <c r="K424" s="42" t="str">
        <f>IF(F423="","",IF(J424="CEK",F422&amp;" Perkebunan Cacao/ Coklat",""))</f>
        <v/>
      </c>
      <c r="L424" s="44"/>
      <c r="M424" s="21"/>
      <c r="N424" s="21"/>
      <c r="O424" s="21"/>
      <c r="P424" s="21"/>
      <c r="Q424" s="21"/>
      <c r="R424" s="21"/>
      <c r="S424" s="21"/>
      <c r="T424" s="21"/>
      <c r="U424" s="21"/>
      <c r="V424" s="21"/>
    </row>
    <row r="425" spans="1:22" s="2" customFormat="1" ht="30" customHeight="1" x14ac:dyDescent="0.25">
      <c r="A425" s="542"/>
      <c r="B425" s="242" t="s">
        <v>251</v>
      </c>
      <c r="C425" s="342" t="s">
        <v>1267</v>
      </c>
      <c r="D425" s="100">
        <f t="shared" si="26"/>
        <v>861</v>
      </c>
      <c r="E425" s="427" t="s">
        <v>171</v>
      </c>
      <c r="F425" s="694" t="s">
        <v>263</v>
      </c>
      <c r="G425" s="924"/>
      <c r="H425" s="922"/>
      <c r="I425" s="923"/>
      <c r="J425" s="198" t="str">
        <f>IF(AND(F422="tidak ada",F425&lt;&gt;"tidak ada"),"CEK",IF(AND(F422="Ada",F425="Tidak Ada"),"CEK",IF(F425="","Belum Terisi","")))</f>
        <v/>
      </c>
      <c r="K425" s="42" t="str">
        <f>IF(F425="","",IF(J425="CEK",F422&amp;" Perkebunan Cacao/ Coklat",""))</f>
        <v/>
      </c>
      <c r="L425" s="44"/>
      <c r="M425" s="21"/>
      <c r="N425" s="21"/>
      <c r="O425" s="21"/>
      <c r="P425" s="21"/>
      <c r="Q425" s="21"/>
      <c r="R425" s="21"/>
      <c r="S425" s="21"/>
      <c r="T425" s="21"/>
      <c r="U425" s="21"/>
      <c r="V425" s="21"/>
    </row>
    <row r="426" spans="1:22" s="2" customFormat="1" ht="30" customHeight="1" x14ac:dyDescent="0.25">
      <c r="A426" s="541"/>
      <c r="B426" s="354" t="s">
        <v>255</v>
      </c>
      <c r="C426" s="342" t="s">
        <v>1259</v>
      </c>
      <c r="D426" s="100">
        <f t="shared" si="26"/>
        <v>862</v>
      </c>
      <c r="E426" s="427" t="s">
        <v>174</v>
      </c>
      <c r="F426" s="697" t="s">
        <v>240</v>
      </c>
      <c r="G426" s="924"/>
      <c r="H426" s="922"/>
      <c r="I426" s="923"/>
      <c r="J426" s="198" t="str">
        <f>IF(AND(F422="tidak ada",F426&lt;&gt;"-"),"CEK",IF(AND(F422="Ada",F426="-"),"CEK",IF(F426="","Belum Terisi","")))</f>
        <v/>
      </c>
      <c r="K426" s="42" t="str">
        <f>IF(F426="","",IF(J426="CEK",F422&amp;" Perkebunan Cacao/ Coklat",""))</f>
        <v/>
      </c>
      <c r="L426" s="44"/>
      <c r="M426" s="21"/>
      <c r="N426" s="21"/>
      <c r="O426" s="21"/>
      <c r="P426" s="21"/>
      <c r="Q426" s="21"/>
      <c r="R426" s="21"/>
      <c r="S426" s="21"/>
      <c r="T426" s="21"/>
      <c r="U426" s="21"/>
      <c r="V426" s="21"/>
    </row>
    <row r="427" spans="1:22" s="2" customFormat="1" ht="30" customHeight="1" x14ac:dyDescent="0.25">
      <c r="A427" s="648">
        <f>A422+1</f>
        <v>90</v>
      </c>
      <c r="B427" s="363"/>
      <c r="C427" s="360" t="s">
        <v>1189</v>
      </c>
      <c r="D427" s="100">
        <f t="shared" si="26"/>
        <v>863</v>
      </c>
      <c r="E427" s="427" t="s">
        <v>171</v>
      </c>
      <c r="F427" s="693" t="s">
        <v>263</v>
      </c>
      <c r="G427" s="924"/>
      <c r="H427" s="922"/>
      <c r="I427" s="923"/>
      <c r="J427" s="198" t="str">
        <f>IF(LEN(F427)&gt;0,"","Belum Terisi")</f>
        <v/>
      </c>
      <c r="K427" s="31"/>
      <c r="L427" s="43"/>
      <c r="M427" s="21"/>
      <c r="N427" s="21"/>
      <c r="O427" s="21"/>
      <c r="P427" s="21"/>
      <c r="Q427" s="21"/>
      <c r="R427" s="21"/>
      <c r="S427" s="21"/>
      <c r="T427" s="21"/>
      <c r="U427" s="21"/>
      <c r="V427" s="21"/>
    </row>
    <row r="428" spans="1:22" s="2" customFormat="1" ht="30" customHeight="1" x14ac:dyDescent="0.25">
      <c r="A428" s="542"/>
      <c r="B428" s="242" t="s">
        <v>41</v>
      </c>
      <c r="C428" s="342" t="s">
        <v>1204</v>
      </c>
      <c r="D428" s="100">
        <f t="shared" si="26"/>
        <v>864</v>
      </c>
      <c r="E428" s="427" t="s">
        <v>171</v>
      </c>
      <c r="F428" s="694" t="s">
        <v>263</v>
      </c>
      <c r="G428" s="924"/>
      <c r="H428" s="922"/>
      <c r="I428" s="923"/>
      <c r="J428" s="198" t="str">
        <f>IF(AND(F427="tidak ada",F428&lt;&gt;"tidak ada"),"CEK",IF(AND(F427="Ada",F428="Tidak Ada"),"CEK",IF(F428="","Belum Terisi","")))</f>
        <v/>
      </c>
      <c r="K428" s="42" t="str">
        <f>IF(F428="","",IF(J428="CEK",F427&amp;" Perkebunan Kopi",""))</f>
        <v/>
      </c>
      <c r="L428" s="44"/>
      <c r="M428" s="21"/>
      <c r="N428" s="21"/>
      <c r="O428" s="21"/>
      <c r="P428" s="21"/>
      <c r="Q428" s="21"/>
      <c r="R428" s="21"/>
      <c r="S428" s="21"/>
      <c r="T428" s="21"/>
      <c r="U428" s="21"/>
      <c r="V428" s="21"/>
    </row>
    <row r="429" spans="1:22" s="2" customFormat="1" ht="30" customHeight="1" x14ac:dyDescent="0.25">
      <c r="A429" s="542"/>
      <c r="B429" s="242" t="s">
        <v>139</v>
      </c>
      <c r="C429" s="342" t="s">
        <v>1248</v>
      </c>
      <c r="D429" s="100">
        <f t="shared" si="26"/>
        <v>865</v>
      </c>
      <c r="E429" s="427" t="s">
        <v>188</v>
      </c>
      <c r="F429" s="775">
        <v>0</v>
      </c>
      <c r="G429" s="924"/>
      <c r="H429" s="922" t="s">
        <v>567</v>
      </c>
      <c r="I429" s="923"/>
      <c r="J429" s="198" t="str">
        <f>IF(AND(F427="tidak ada",F429&lt;&gt;0),"CEK",IF(AND(F427="Ada",F429=0),"CEK",IF(F429="","Belum Terisi","")))</f>
        <v/>
      </c>
      <c r="K429" s="42" t="str">
        <f>IF(F428="","",IF(J429="CEK",F427&amp;" Perkebunan Kopi",""))</f>
        <v/>
      </c>
      <c r="L429" s="44"/>
      <c r="M429" s="21"/>
      <c r="N429" s="21"/>
      <c r="O429" s="21"/>
      <c r="P429" s="21"/>
      <c r="Q429" s="21"/>
      <c r="R429" s="21"/>
      <c r="S429" s="21"/>
      <c r="T429" s="21"/>
      <c r="U429" s="21"/>
      <c r="V429" s="21"/>
    </row>
    <row r="430" spans="1:22" s="2" customFormat="1" ht="30" customHeight="1" x14ac:dyDescent="0.25">
      <c r="A430" s="542"/>
      <c r="B430" s="242" t="s">
        <v>251</v>
      </c>
      <c r="C430" s="342" t="s">
        <v>1268</v>
      </c>
      <c r="D430" s="100">
        <f t="shared" si="26"/>
        <v>866</v>
      </c>
      <c r="E430" s="427" t="s">
        <v>171</v>
      </c>
      <c r="F430" s="694" t="s">
        <v>263</v>
      </c>
      <c r="G430" s="924"/>
      <c r="H430" s="922"/>
      <c r="I430" s="923"/>
      <c r="J430" s="198" t="str">
        <f>IF(AND(F427="tidak ada",F430&lt;&gt;"tidak ada"),"CEK",IF(AND(F427="Ada",F430="Tidak Ada"),"CEK",IF(F430="","Belum Terisi","")))</f>
        <v/>
      </c>
      <c r="K430" s="42" t="str">
        <f>IF(F430="","",IF(J430="CEK",F427&amp;" Perkebunan Kopi",""))</f>
        <v/>
      </c>
      <c r="L430" s="44"/>
      <c r="M430" s="21"/>
      <c r="N430" s="21"/>
      <c r="O430" s="21"/>
      <c r="P430" s="21"/>
      <c r="Q430" s="21"/>
      <c r="R430" s="21"/>
      <c r="S430" s="21"/>
      <c r="T430" s="21"/>
      <c r="U430" s="21"/>
      <c r="V430" s="21"/>
    </row>
    <row r="431" spans="1:22" s="2" customFormat="1" ht="30" customHeight="1" x14ac:dyDescent="0.25">
      <c r="A431" s="541"/>
      <c r="B431" s="354" t="s">
        <v>255</v>
      </c>
      <c r="C431" s="342" t="s">
        <v>1260</v>
      </c>
      <c r="D431" s="100">
        <f t="shared" si="26"/>
        <v>867</v>
      </c>
      <c r="E431" s="427" t="s">
        <v>174</v>
      </c>
      <c r="F431" s="697" t="s">
        <v>240</v>
      </c>
      <c r="G431" s="924"/>
      <c r="H431" s="922"/>
      <c r="I431" s="923"/>
      <c r="J431" s="198" t="str">
        <f>IF(AND(F427="tidak ada",F431&lt;&gt;"-"),"CEK",IF(AND(F427="Ada",F431="-"),"CEK",IF(F431="","Belum Terisi","")))</f>
        <v/>
      </c>
      <c r="K431" s="42" t="str">
        <f>IF(F431="","",IF(J431="CEK",F427&amp;" Perkebunan Kopi",""))</f>
        <v/>
      </c>
      <c r="L431" s="44"/>
      <c r="M431" s="21"/>
      <c r="N431" s="21"/>
      <c r="O431" s="21"/>
      <c r="P431" s="21"/>
      <c r="Q431" s="21"/>
      <c r="R431" s="21"/>
      <c r="S431" s="21"/>
      <c r="T431" s="21"/>
      <c r="U431" s="21"/>
      <c r="V431" s="21"/>
    </row>
    <row r="432" spans="1:22" s="2" customFormat="1" ht="30" customHeight="1" x14ac:dyDescent="0.25">
      <c r="A432" s="648">
        <f>A427+1</f>
        <v>91</v>
      </c>
      <c r="B432" s="363"/>
      <c r="C432" s="360" t="s">
        <v>1190</v>
      </c>
      <c r="D432" s="100">
        <f t="shared" si="26"/>
        <v>868</v>
      </c>
      <c r="E432" s="427" t="s">
        <v>171</v>
      </c>
      <c r="F432" s="693" t="s">
        <v>263</v>
      </c>
      <c r="G432" s="924"/>
      <c r="H432" s="922"/>
      <c r="I432" s="923"/>
      <c r="J432" s="198" t="str">
        <f>IF(LEN(F432)&gt;0,"","Belum Terisi")</f>
        <v/>
      </c>
      <c r="K432" s="31"/>
      <c r="L432" s="43"/>
      <c r="M432" s="21"/>
      <c r="N432" s="21"/>
      <c r="O432" s="21"/>
      <c r="P432" s="21"/>
      <c r="Q432" s="21"/>
      <c r="R432" s="21"/>
      <c r="S432" s="21"/>
      <c r="T432" s="21"/>
      <c r="U432" s="21"/>
      <c r="V432" s="21"/>
    </row>
    <row r="433" spans="1:22" s="2" customFormat="1" ht="30" customHeight="1" x14ac:dyDescent="0.25">
      <c r="A433" s="542"/>
      <c r="B433" s="242" t="s">
        <v>41</v>
      </c>
      <c r="C433" s="342" t="s">
        <v>1205</v>
      </c>
      <c r="D433" s="100">
        <f t="shared" si="26"/>
        <v>869</v>
      </c>
      <c r="E433" s="427" t="s">
        <v>171</v>
      </c>
      <c r="F433" s="694" t="s">
        <v>263</v>
      </c>
      <c r="G433" s="924"/>
      <c r="H433" s="922"/>
      <c r="I433" s="923"/>
      <c r="J433" s="198" t="str">
        <f>IF(AND(F432="tidak ada",F433&lt;&gt;"tidak ada"),"CEK",IF(AND(F432="Ada",F433="Tidak Ada"),"CEK",IF(F433="","Belum Terisi","")))</f>
        <v/>
      </c>
      <c r="K433" s="42" t="str">
        <f>IF(F433="","",IF(J433="CEK",F432&amp;" Perkebunan Teh",""))</f>
        <v/>
      </c>
      <c r="L433" s="44"/>
      <c r="M433" s="21"/>
      <c r="N433" s="21"/>
      <c r="O433" s="21"/>
      <c r="P433" s="21"/>
      <c r="Q433" s="21"/>
      <c r="R433" s="21"/>
      <c r="S433" s="21"/>
      <c r="T433" s="21"/>
      <c r="U433" s="21"/>
      <c r="V433" s="21"/>
    </row>
    <row r="434" spans="1:22" s="2" customFormat="1" ht="30" customHeight="1" x14ac:dyDescent="0.25">
      <c r="A434" s="542"/>
      <c r="B434" s="242" t="s">
        <v>139</v>
      </c>
      <c r="C434" s="342" t="s">
        <v>1249</v>
      </c>
      <c r="D434" s="100">
        <f t="shared" si="26"/>
        <v>870</v>
      </c>
      <c r="E434" s="427" t="s">
        <v>188</v>
      </c>
      <c r="F434" s="775">
        <v>0</v>
      </c>
      <c r="G434" s="924"/>
      <c r="H434" s="922" t="s">
        <v>567</v>
      </c>
      <c r="I434" s="923"/>
      <c r="J434" s="198" t="str">
        <f>IF(AND(F432="tidak ada",F434&lt;&gt;0),"CEK",IF(AND(F432="Ada",F434=0),"CEK",IF(F434="","Belum Terisi","")))</f>
        <v/>
      </c>
      <c r="K434" s="42" t="str">
        <f>IF(F433="","",IF(J434="CEK",F432&amp;" Perkebunan Teh",""))</f>
        <v/>
      </c>
      <c r="L434" s="44"/>
      <c r="M434" s="21"/>
      <c r="N434" s="21"/>
      <c r="O434" s="21"/>
      <c r="P434" s="21"/>
      <c r="Q434" s="21"/>
      <c r="R434" s="21"/>
      <c r="S434" s="21"/>
      <c r="T434" s="21"/>
      <c r="U434" s="21"/>
      <c r="V434" s="21"/>
    </row>
    <row r="435" spans="1:22" s="2" customFormat="1" ht="30" customHeight="1" x14ac:dyDescent="0.25">
      <c r="A435" s="542"/>
      <c r="B435" s="242" t="s">
        <v>251</v>
      </c>
      <c r="C435" s="342" t="s">
        <v>1269</v>
      </c>
      <c r="D435" s="100">
        <f t="shared" si="26"/>
        <v>871</v>
      </c>
      <c r="E435" s="427" t="s">
        <v>171</v>
      </c>
      <c r="F435" s="694" t="s">
        <v>263</v>
      </c>
      <c r="G435" s="924"/>
      <c r="H435" s="922"/>
      <c r="I435" s="923"/>
      <c r="J435" s="198" t="str">
        <f>IF(AND(F432="tidak ada",F435&lt;&gt;"tidak ada"),"CEK",IF(AND(F432="Ada",F435="Tidak Ada"),"CEK",IF(F435="","Belum Terisi","")))</f>
        <v/>
      </c>
      <c r="K435" s="42" t="str">
        <f>IF(F435="","",IF(J435="CEK",F432&amp;" Perkebunan Teh",""))</f>
        <v/>
      </c>
      <c r="L435" s="44"/>
      <c r="M435" s="21"/>
      <c r="N435" s="21"/>
      <c r="O435" s="21"/>
      <c r="P435" s="21"/>
      <c r="Q435" s="21"/>
      <c r="R435" s="21"/>
      <c r="S435" s="21"/>
      <c r="T435" s="21"/>
      <c r="U435" s="21"/>
      <c r="V435" s="21"/>
    </row>
    <row r="436" spans="1:22" s="2" customFormat="1" ht="30" customHeight="1" x14ac:dyDescent="0.25">
      <c r="A436" s="541"/>
      <c r="B436" s="354" t="s">
        <v>255</v>
      </c>
      <c r="C436" s="342" t="s">
        <v>1261</v>
      </c>
      <c r="D436" s="100">
        <f t="shared" si="26"/>
        <v>872</v>
      </c>
      <c r="E436" s="427" t="s">
        <v>174</v>
      </c>
      <c r="F436" s="697" t="s">
        <v>240</v>
      </c>
      <c r="G436" s="924"/>
      <c r="H436" s="922"/>
      <c r="I436" s="923"/>
      <c r="J436" s="198" t="str">
        <f>IF(AND(F432="tidak ada",F436&lt;&gt;"-"),"CEK",IF(AND(F432="Ada",F436="-"),"CEK",IF(F436="","Belum Terisi","")))</f>
        <v/>
      </c>
      <c r="K436" s="42" t="str">
        <f>IF(F436="","",IF(J436="CEK",F432&amp;" Perkebunan Teh",""))</f>
        <v/>
      </c>
      <c r="L436" s="44"/>
      <c r="M436" s="21"/>
      <c r="N436" s="21"/>
      <c r="O436" s="21"/>
      <c r="P436" s="21"/>
      <c r="Q436" s="21"/>
      <c r="R436" s="21"/>
      <c r="S436" s="21"/>
      <c r="T436" s="21"/>
      <c r="U436" s="21"/>
      <c r="V436" s="21"/>
    </row>
    <row r="437" spans="1:22" s="2" customFormat="1" ht="30" customHeight="1" x14ac:dyDescent="0.25">
      <c r="A437" s="648">
        <f>A432+1</f>
        <v>92</v>
      </c>
      <c r="B437" s="363"/>
      <c r="C437" s="360" t="s">
        <v>1191</v>
      </c>
      <c r="D437" s="100">
        <f t="shared" si="26"/>
        <v>873</v>
      </c>
      <c r="E437" s="427" t="s">
        <v>171</v>
      </c>
      <c r="F437" s="693" t="s">
        <v>263</v>
      </c>
      <c r="G437" s="924"/>
      <c r="H437" s="922"/>
      <c r="I437" s="923"/>
      <c r="J437" s="198" t="str">
        <f>IF(LEN(F437)&gt;0,"","Belum Terisi")</f>
        <v/>
      </c>
      <c r="K437" s="31"/>
      <c r="L437" s="43"/>
      <c r="M437" s="21"/>
      <c r="N437" s="21"/>
      <c r="O437" s="21"/>
      <c r="P437" s="21"/>
      <c r="Q437" s="21"/>
      <c r="R437" s="21"/>
      <c r="S437" s="21"/>
      <c r="T437" s="21"/>
      <c r="U437" s="21"/>
      <c r="V437" s="21"/>
    </row>
    <row r="438" spans="1:22" s="2" customFormat="1" ht="30" customHeight="1" x14ac:dyDescent="0.25">
      <c r="A438" s="542"/>
      <c r="B438" s="242" t="s">
        <v>41</v>
      </c>
      <c r="C438" s="342" t="s">
        <v>1206</v>
      </c>
      <c r="D438" s="100">
        <f t="shared" si="26"/>
        <v>874</v>
      </c>
      <c r="E438" s="427" t="s">
        <v>171</v>
      </c>
      <c r="F438" s="694" t="s">
        <v>263</v>
      </c>
      <c r="G438" s="924"/>
      <c r="H438" s="922"/>
      <c r="I438" s="923"/>
      <c r="J438" s="198" t="str">
        <f>IF(AND(F437="tidak ada",F438&lt;&gt;"tidak ada"),"CEK",IF(AND(F437="Ada",F438="Tidak Ada"),"CEK",IF(F438="","Belum Terisi","")))</f>
        <v/>
      </c>
      <c r="K438" s="42" t="str">
        <f>IF(F438="","",IF(J438="CEK",F437&amp;" Perkebunan Kina",""))</f>
        <v/>
      </c>
      <c r="L438" s="44"/>
      <c r="M438" s="21"/>
      <c r="N438" s="21"/>
      <c r="O438" s="21"/>
      <c r="P438" s="21"/>
      <c r="Q438" s="21"/>
      <c r="R438" s="21"/>
      <c r="S438" s="21"/>
      <c r="T438" s="21"/>
      <c r="U438" s="21"/>
      <c r="V438" s="21"/>
    </row>
    <row r="439" spans="1:22" s="2" customFormat="1" ht="30" customHeight="1" x14ac:dyDescent="0.25">
      <c r="A439" s="542"/>
      <c r="B439" s="242" t="s">
        <v>139</v>
      </c>
      <c r="C439" s="342" t="s">
        <v>1250</v>
      </c>
      <c r="D439" s="100">
        <f t="shared" si="26"/>
        <v>875</v>
      </c>
      <c r="E439" s="427" t="s">
        <v>188</v>
      </c>
      <c r="F439" s="775">
        <v>0</v>
      </c>
      <c r="G439" s="924"/>
      <c r="H439" s="922" t="s">
        <v>567</v>
      </c>
      <c r="I439" s="923"/>
      <c r="J439" s="198" t="str">
        <f>IF(AND(F437="tidak ada",F439&lt;&gt;0),"CEK",IF(AND(F437="Ada",F439=0),"CEK",IF(F439="","Belum Terisi","")))</f>
        <v/>
      </c>
      <c r="K439" s="42" t="str">
        <f>IF(F438="","",IF(J439="CEK",F437&amp;" Perkebunan Kina",""))</f>
        <v/>
      </c>
      <c r="L439" s="44"/>
      <c r="M439" s="21"/>
      <c r="N439" s="21"/>
      <c r="O439" s="21"/>
      <c r="P439" s="21"/>
      <c r="Q439" s="21"/>
      <c r="R439" s="21"/>
      <c r="S439" s="21"/>
      <c r="T439" s="21"/>
      <c r="U439" s="21"/>
      <c r="V439" s="21"/>
    </row>
    <row r="440" spans="1:22" s="2" customFormat="1" ht="30" customHeight="1" x14ac:dyDescent="0.25">
      <c r="A440" s="542"/>
      <c r="B440" s="242" t="s">
        <v>251</v>
      </c>
      <c r="C440" s="342" t="s">
        <v>1270</v>
      </c>
      <c r="D440" s="100">
        <f t="shared" si="26"/>
        <v>876</v>
      </c>
      <c r="E440" s="427" t="s">
        <v>171</v>
      </c>
      <c r="F440" s="694" t="s">
        <v>263</v>
      </c>
      <c r="G440" s="924"/>
      <c r="H440" s="922"/>
      <c r="I440" s="923"/>
      <c r="J440" s="198" t="str">
        <f>IF(AND(F437="tidak ada",F440&lt;&gt;"tidak ada"),"CEK",IF(AND(F437="Ada",F440="Tidak Ada"),"CEK",IF(F440="","Belum Terisi","")))</f>
        <v/>
      </c>
      <c r="K440" s="42" t="str">
        <f>IF(F440="","",IF(J440="CEK",F437&amp;" Perkebunan Kina",""))</f>
        <v/>
      </c>
      <c r="L440" s="44"/>
      <c r="M440" s="21"/>
      <c r="N440" s="21"/>
      <c r="O440" s="21"/>
      <c r="P440" s="21"/>
      <c r="Q440" s="21"/>
      <c r="R440" s="21"/>
      <c r="S440" s="21"/>
      <c r="T440" s="21"/>
      <c r="U440" s="21"/>
      <c r="V440" s="21"/>
    </row>
    <row r="441" spans="1:22" s="2" customFormat="1" ht="30" customHeight="1" x14ac:dyDescent="0.25">
      <c r="A441" s="541"/>
      <c r="B441" s="354" t="s">
        <v>255</v>
      </c>
      <c r="C441" s="342" t="s">
        <v>1262</v>
      </c>
      <c r="D441" s="100">
        <f t="shared" si="26"/>
        <v>877</v>
      </c>
      <c r="E441" s="427" t="s">
        <v>174</v>
      </c>
      <c r="F441" s="697" t="s">
        <v>240</v>
      </c>
      <c r="G441" s="924"/>
      <c r="H441" s="922"/>
      <c r="I441" s="923"/>
      <c r="J441" s="198" t="str">
        <f>IF(AND(F437="tidak ada",F441&lt;&gt;"-"),"CEK",IF(AND(F437="Ada",F441="-"),"CEK",IF(F441="","Belum Terisi","")))</f>
        <v/>
      </c>
      <c r="K441" s="42" t="str">
        <f>IF(F441="","",IF(J441="CEK",F437&amp;" Perkebunan Kina",""))</f>
        <v/>
      </c>
      <c r="L441" s="44"/>
      <c r="M441" s="21"/>
      <c r="N441" s="21"/>
      <c r="O441" s="21"/>
      <c r="P441" s="21"/>
      <c r="Q441" s="21"/>
      <c r="R441" s="21"/>
      <c r="S441" s="21"/>
      <c r="T441" s="21"/>
      <c r="U441" s="21"/>
      <c r="V441" s="21"/>
    </row>
    <row r="442" spans="1:22" s="2" customFormat="1" ht="30" customHeight="1" x14ac:dyDescent="0.25">
      <c r="A442" s="648">
        <f>A437+1</f>
        <v>93</v>
      </c>
      <c r="B442" s="363"/>
      <c r="C442" s="360" t="s">
        <v>1192</v>
      </c>
      <c r="D442" s="100">
        <f t="shared" si="26"/>
        <v>878</v>
      </c>
      <c r="E442" s="427" t="s">
        <v>171</v>
      </c>
      <c r="F442" s="693" t="s">
        <v>263</v>
      </c>
      <c r="G442" s="924"/>
      <c r="H442" s="922"/>
      <c r="I442" s="923"/>
      <c r="J442" s="198" t="str">
        <f>IF(LEN(F442)&gt;0,"","Belum Terisi")</f>
        <v/>
      </c>
      <c r="K442" s="31"/>
      <c r="L442" s="31"/>
      <c r="M442" s="21"/>
      <c r="N442" s="21"/>
      <c r="O442" s="21"/>
      <c r="P442" s="21"/>
      <c r="Q442" s="21"/>
      <c r="R442" s="21"/>
      <c r="S442" s="21"/>
      <c r="T442" s="21"/>
      <c r="U442" s="21"/>
      <c r="V442" s="21"/>
    </row>
    <row r="443" spans="1:22" s="2" customFormat="1" ht="30" customHeight="1" x14ac:dyDescent="0.25">
      <c r="A443" s="542"/>
      <c r="B443" s="242" t="s">
        <v>41</v>
      </c>
      <c r="C443" s="342" t="s">
        <v>1207</v>
      </c>
      <c r="D443" s="100">
        <f t="shared" si="26"/>
        <v>879</v>
      </c>
      <c r="E443" s="427" t="s">
        <v>171</v>
      </c>
      <c r="F443" s="694" t="s">
        <v>263</v>
      </c>
      <c r="G443" s="924"/>
      <c r="H443" s="922"/>
      <c r="I443" s="923"/>
      <c r="J443" s="198" t="str">
        <f>IF(AND(F442="tidak ada",F443&lt;&gt;"tidak ada"),"CEK",IF(AND(F442="Ada",F443="Tidak Ada"),"CEK",IF(F443="","Belum Terisi","")))</f>
        <v/>
      </c>
      <c r="K443" s="42" t="str">
        <f>IF(F443="","",IF(J443="CEK",F442&amp;" Perkebunan Tebu",""))</f>
        <v/>
      </c>
      <c r="L443" s="44"/>
      <c r="M443" s="21"/>
      <c r="N443" s="21"/>
      <c r="O443" s="21"/>
      <c r="P443" s="21"/>
      <c r="Q443" s="21"/>
      <c r="R443" s="21"/>
      <c r="S443" s="21"/>
      <c r="T443" s="21"/>
      <c r="U443" s="21"/>
      <c r="V443" s="21"/>
    </row>
    <row r="444" spans="1:22" s="2" customFormat="1" ht="30" customHeight="1" x14ac:dyDescent="0.25">
      <c r="A444" s="542"/>
      <c r="B444" s="242" t="s">
        <v>139</v>
      </c>
      <c r="C444" s="342" t="s">
        <v>1251</v>
      </c>
      <c r="D444" s="100">
        <f t="shared" si="26"/>
        <v>880</v>
      </c>
      <c r="E444" s="427" t="s">
        <v>188</v>
      </c>
      <c r="F444" s="775">
        <v>0</v>
      </c>
      <c r="G444" s="924"/>
      <c r="H444" s="922" t="s">
        <v>567</v>
      </c>
      <c r="I444" s="923"/>
      <c r="J444" s="198" t="str">
        <f>IF(AND(F442="tidak ada",F444&lt;&gt;0),"CEK",IF(AND(F442="Ada",F444=0),"CEK",IF(F444="","Belum Terisi","")))</f>
        <v/>
      </c>
      <c r="K444" s="42" t="str">
        <f>IF(F443="","",IF(J444="CEK",F442&amp;" Perkebunan Tebu",""))</f>
        <v/>
      </c>
      <c r="L444" s="44"/>
      <c r="M444" s="21"/>
      <c r="N444" s="21"/>
      <c r="O444" s="21"/>
      <c r="P444" s="21"/>
      <c r="Q444" s="21"/>
      <c r="R444" s="21"/>
      <c r="S444" s="21"/>
      <c r="T444" s="21"/>
      <c r="U444" s="21"/>
      <c r="V444" s="21"/>
    </row>
    <row r="445" spans="1:22" s="2" customFormat="1" ht="30" customHeight="1" x14ac:dyDescent="0.25">
      <c r="A445" s="542"/>
      <c r="B445" s="242" t="s">
        <v>251</v>
      </c>
      <c r="C445" s="342" t="s">
        <v>1271</v>
      </c>
      <c r="D445" s="100">
        <f t="shared" si="26"/>
        <v>881</v>
      </c>
      <c r="E445" s="427" t="s">
        <v>171</v>
      </c>
      <c r="F445" s="694" t="s">
        <v>263</v>
      </c>
      <c r="G445" s="924"/>
      <c r="H445" s="922"/>
      <c r="I445" s="923"/>
      <c r="J445" s="198" t="str">
        <f>IF(AND(F442="tidak ada",F445&lt;&gt;"tidak ada"),"CEK",IF(AND(F442="Ada",F445="Tidak Ada"),"CEK",IF(F445="","Belum Terisi","")))</f>
        <v/>
      </c>
      <c r="K445" s="42" t="str">
        <f>IF(F445="","",IF(J445="CEK",F442&amp;" Perkebunan Tebu",""))</f>
        <v/>
      </c>
      <c r="L445" s="44"/>
      <c r="M445" s="21"/>
      <c r="N445" s="21"/>
      <c r="O445" s="21"/>
      <c r="P445" s="21"/>
      <c r="Q445" s="21"/>
      <c r="R445" s="21"/>
      <c r="S445" s="21"/>
      <c r="T445" s="21"/>
      <c r="U445" s="21"/>
      <c r="V445" s="21"/>
    </row>
    <row r="446" spans="1:22" s="2" customFormat="1" ht="30" customHeight="1" x14ac:dyDescent="0.25">
      <c r="A446" s="541"/>
      <c r="B446" s="354" t="s">
        <v>255</v>
      </c>
      <c r="C446" s="342" t="s">
        <v>1263</v>
      </c>
      <c r="D446" s="100">
        <f t="shared" si="26"/>
        <v>882</v>
      </c>
      <c r="E446" s="427" t="s">
        <v>174</v>
      </c>
      <c r="F446" s="697" t="s">
        <v>240</v>
      </c>
      <c r="G446" s="924"/>
      <c r="H446" s="922"/>
      <c r="I446" s="923"/>
      <c r="J446" s="198" t="str">
        <f>IF(AND(F442="tidak ada",F446&lt;&gt;"-"),"CEK",IF(AND(F442="Ada",F446="-"),"CEK",IF(F446="","Belum Terisi","")))</f>
        <v/>
      </c>
      <c r="K446" s="42" t="str">
        <f>IF(F446="","",IF(J446="CEK",F442&amp;" Perkebunan Tebu",""))</f>
        <v/>
      </c>
      <c r="L446" s="44"/>
      <c r="M446" s="21"/>
      <c r="N446" s="21"/>
      <c r="O446" s="21"/>
      <c r="P446" s="21"/>
      <c r="Q446" s="21"/>
      <c r="R446" s="21"/>
      <c r="S446" s="21"/>
      <c r="T446" s="21"/>
      <c r="U446" s="21"/>
      <c r="V446" s="21"/>
    </row>
    <row r="447" spans="1:22" s="2" customFormat="1" ht="30" customHeight="1" x14ac:dyDescent="0.25">
      <c r="A447" s="648">
        <f>A442+1</f>
        <v>94</v>
      </c>
      <c r="B447" s="363"/>
      <c r="C447" s="360" t="s">
        <v>1193</v>
      </c>
      <c r="D447" s="100">
        <f t="shared" si="26"/>
        <v>883</v>
      </c>
      <c r="E447" s="427" t="s">
        <v>171</v>
      </c>
      <c r="F447" s="693" t="s">
        <v>263</v>
      </c>
      <c r="G447" s="924"/>
      <c r="H447" s="922"/>
      <c r="I447" s="923"/>
      <c r="J447" s="198" t="str">
        <f>IF(LEN(F447)&gt;0,"","Belum Terisi")</f>
        <v/>
      </c>
      <c r="K447" s="31"/>
      <c r="L447" s="43"/>
      <c r="M447" s="21"/>
      <c r="N447" s="21"/>
      <c r="O447" s="21"/>
      <c r="P447" s="21"/>
      <c r="Q447" s="21"/>
      <c r="R447" s="21"/>
      <c r="S447" s="21"/>
      <c r="T447" s="21"/>
      <c r="U447" s="21"/>
      <c r="V447" s="21"/>
    </row>
    <row r="448" spans="1:22" s="2" customFormat="1" ht="30" customHeight="1" x14ac:dyDescent="0.25">
      <c r="A448" s="542"/>
      <c r="B448" s="242" t="s">
        <v>41</v>
      </c>
      <c r="C448" s="342" t="s">
        <v>1208</v>
      </c>
      <c r="D448" s="100">
        <f t="shared" si="26"/>
        <v>884</v>
      </c>
      <c r="E448" s="427" t="s">
        <v>171</v>
      </c>
      <c r="F448" s="694" t="s">
        <v>263</v>
      </c>
      <c r="G448" s="924"/>
      <c r="H448" s="922"/>
      <c r="I448" s="923"/>
      <c r="J448" s="198" t="str">
        <f>IF(AND(F447="tidak ada",F448&lt;&gt;"tidak ada"),"CEK",IF(AND(F447="Ada",F448="Tidak Ada"),"CEK",IF(F448="","Belum Terisi","")))</f>
        <v/>
      </c>
      <c r="K448" s="42" t="str">
        <f>IF(F448="","",IF(J448="CEK",F447&amp;" Perkebunan Tembakau",""))</f>
        <v/>
      </c>
      <c r="L448" s="44"/>
      <c r="M448" s="21"/>
      <c r="N448" s="21"/>
      <c r="O448" s="21"/>
      <c r="P448" s="21"/>
      <c r="Q448" s="21"/>
      <c r="R448" s="21"/>
      <c r="S448" s="21"/>
      <c r="T448" s="21"/>
      <c r="U448" s="21"/>
      <c r="V448" s="21"/>
    </row>
    <row r="449" spans="1:22" s="2" customFormat="1" ht="30" customHeight="1" x14ac:dyDescent="0.25">
      <c r="A449" s="542"/>
      <c r="B449" s="242" t="s">
        <v>139</v>
      </c>
      <c r="C449" s="342" t="s">
        <v>1252</v>
      </c>
      <c r="D449" s="100">
        <f t="shared" si="26"/>
        <v>885</v>
      </c>
      <c r="E449" s="427" t="s">
        <v>188</v>
      </c>
      <c r="F449" s="775">
        <v>0</v>
      </c>
      <c r="G449" s="924"/>
      <c r="H449" s="922" t="s">
        <v>567</v>
      </c>
      <c r="I449" s="923"/>
      <c r="J449" s="198" t="str">
        <f>IF(AND(F447="tidak ada",F449&lt;&gt;0),"CEK",IF(AND(F447="Ada",F449=0),"CEK",IF(F449="","Belum Terisi","")))</f>
        <v/>
      </c>
      <c r="K449" s="42" t="str">
        <f>IF(F448="","",IF(J449="CEK",F447&amp;" Perkebunan Tembakau",""))</f>
        <v/>
      </c>
      <c r="L449" s="44"/>
      <c r="M449" s="21"/>
      <c r="N449" s="21"/>
      <c r="O449" s="21"/>
      <c r="P449" s="21"/>
      <c r="Q449" s="21"/>
      <c r="R449" s="21"/>
      <c r="S449" s="21"/>
      <c r="T449" s="21"/>
      <c r="U449" s="21"/>
      <c r="V449" s="21"/>
    </row>
    <row r="450" spans="1:22" s="2" customFormat="1" ht="30" customHeight="1" x14ac:dyDescent="0.25">
      <c r="A450" s="542"/>
      <c r="B450" s="242" t="s">
        <v>251</v>
      </c>
      <c r="C450" s="342" t="s">
        <v>1272</v>
      </c>
      <c r="D450" s="100">
        <f t="shared" si="26"/>
        <v>886</v>
      </c>
      <c r="E450" s="427" t="s">
        <v>171</v>
      </c>
      <c r="F450" s="694" t="s">
        <v>263</v>
      </c>
      <c r="G450" s="924"/>
      <c r="H450" s="922"/>
      <c r="I450" s="923"/>
      <c r="J450" s="198" t="str">
        <f>IF(AND(F447="tidak ada",F450&lt;&gt;"tidak ada"),"CEK",IF(AND(F447="Ada",F450="Tidak Ada"),"CEK",IF(F450="","Belum Terisi","")))</f>
        <v/>
      </c>
      <c r="K450" s="42" t="str">
        <f>IF(F450="","",IF(J450="CEK",F447&amp;" Perkebunan Tembakau",""))</f>
        <v/>
      </c>
      <c r="L450" s="44"/>
      <c r="M450" s="21"/>
      <c r="N450" s="21"/>
      <c r="O450" s="21"/>
      <c r="P450" s="21"/>
      <c r="Q450" s="21"/>
      <c r="R450" s="21"/>
      <c r="S450" s="21"/>
      <c r="T450" s="21"/>
      <c r="U450" s="21"/>
      <c r="V450" s="21"/>
    </row>
    <row r="451" spans="1:22" s="2" customFormat="1" ht="30" customHeight="1" x14ac:dyDescent="0.25">
      <c r="A451" s="541"/>
      <c r="B451" s="354" t="s">
        <v>255</v>
      </c>
      <c r="C451" s="342" t="s">
        <v>1264</v>
      </c>
      <c r="D451" s="100">
        <f t="shared" si="26"/>
        <v>887</v>
      </c>
      <c r="E451" s="427" t="s">
        <v>174</v>
      </c>
      <c r="F451" s="697" t="s">
        <v>240</v>
      </c>
      <c r="G451" s="924"/>
      <c r="H451" s="922"/>
      <c r="I451" s="923"/>
      <c r="J451" s="198" t="str">
        <f>IF(AND(F447="tidak ada",F451&lt;&gt;"-"),"CEK",IF(AND(F447="Ada",F451="-"),"CEK",IF(F451="","Belum Terisi","")))</f>
        <v/>
      </c>
      <c r="K451" s="42" t="str">
        <f>IF(F451="","",IF(J451="CEK",F447&amp;" Perkebunan Tembakau",""))</f>
        <v/>
      </c>
      <c r="L451" s="44"/>
      <c r="M451" s="21"/>
      <c r="N451" s="21"/>
      <c r="O451" s="21"/>
      <c r="P451" s="21"/>
      <c r="Q451" s="21"/>
      <c r="R451" s="21"/>
      <c r="S451" s="21"/>
      <c r="T451" s="21"/>
      <c r="U451" s="21"/>
      <c r="V451" s="21"/>
    </row>
    <row r="452" spans="1:22" s="2" customFormat="1" ht="30" customHeight="1" x14ac:dyDescent="0.25">
      <c r="A452" s="648">
        <f>A447+1</f>
        <v>95</v>
      </c>
      <c r="B452" s="363"/>
      <c r="C452" s="360" t="s">
        <v>1194</v>
      </c>
      <c r="D452" s="100">
        <f t="shared" si="26"/>
        <v>888</v>
      </c>
      <c r="E452" s="427" t="s">
        <v>171</v>
      </c>
      <c r="F452" s="693" t="s">
        <v>263</v>
      </c>
      <c r="G452" s="924"/>
      <c r="H452" s="922" t="s">
        <v>735</v>
      </c>
      <c r="I452" s="923"/>
      <c r="J452" s="198" t="str">
        <f>IF(LEN(F452)&gt;0,"","Belum Terisi")</f>
        <v/>
      </c>
      <c r="K452" s="31"/>
      <c r="L452" s="43"/>
      <c r="M452" s="21"/>
      <c r="N452" s="21"/>
      <c r="O452" s="21"/>
      <c r="P452" s="21"/>
      <c r="Q452" s="21"/>
      <c r="R452" s="21"/>
      <c r="S452" s="21"/>
      <c r="T452" s="21"/>
      <c r="U452" s="21"/>
      <c r="V452" s="21"/>
    </row>
    <row r="453" spans="1:22" s="2" customFormat="1" ht="30" customHeight="1" x14ac:dyDescent="0.25">
      <c r="A453" s="542"/>
      <c r="B453" s="242" t="s">
        <v>41</v>
      </c>
      <c r="C453" s="342" t="s">
        <v>1199</v>
      </c>
      <c r="D453" s="100">
        <f t="shared" si="26"/>
        <v>889</v>
      </c>
      <c r="E453" s="427" t="s">
        <v>174</v>
      </c>
      <c r="F453" s="694" t="s">
        <v>240</v>
      </c>
      <c r="G453" s="924"/>
      <c r="H453" s="922" t="s">
        <v>736</v>
      </c>
      <c r="I453" s="923"/>
      <c r="J453" s="198" t="str">
        <f>IF(AND(F452="tidak ada",F453&lt;&gt;"-"),"CEK",IF(AND(F452="Ada",F453="-"),"CEK",IF(F453="","Belum Terisi","")))</f>
        <v/>
      </c>
      <c r="K453" s="42" t="str">
        <f>IF(F453="","",IF(J453="CEK",F452&amp;" Perkebunan Lainnya",""))</f>
        <v/>
      </c>
      <c r="L453" s="44"/>
      <c r="M453" s="21"/>
      <c r="N453" s="21"/>
      <c r="O453" s="21"/>
      <c r="P453" s="21"/>
      <c r="Q453" s="21"/>
      <c r="R453" s="21"/>
      <c r="S453" s="21"/>
      <c r="T453" s="21"/>
      <c r="U453" s="21"/>
      <c r="V453" s="21"/>
    </row>
    <row r="454" spans="1:22" s="2" customFormat="1" ht="30" customHeight="1" x14ac:dyDescent="0.25">
      <c r="A454" s="542"/>
      <c r="B454" s="242" t="s">
        <v>139</v>
      </c>
      <c r="C454" s="342" t="s">
        <v>1226</v>
      </c>
      <c r="D454" s="100">
        <f t="shared" si="26"/>
        <v>890</v>
      </c>
      <c r="E454" s="427" t="s">
        <v>171</v>
      </c>
      <c r="F454" s="694" t="s">
        <v>263</v>
      </c>
      <c r="G454" s="924"/>
      <c r="H454" s="922" t="s">
        <v>737</v>
      </c>
      <c r="I454" s="923"/>
      <c r="J454" s="198" t="str">
        <f>IF(AND(F452="tidak ada",F454&lt;&gt;"tidak ada"),"CEK",IF(AND(F452="Ada",F454="Tidak Ada"),"CEK",IF(F454="","Belum Terisi","")))</f>
        <v/>
      </c>
      <c r="K454" s="42" t="str">
        <f>IF(F454="","",IF(J454="CEK",F452&amp;" Perkebunan Lainnya",""))</f>
        <v/>
      </c>
      <c r="L454" s="44"/>
      <c r="M454" s="21"/>
      <c r="N454" s="21"/>
      <c r="O454" s="21"/>
      <c r="P454" s="21"/>
      <c r="Q454" s="21"/>
      <c r="R454" s="21"/>
      <c r="S454" s="21"/>
      <c r="T454" s="21"/>
      <c r="U454" s="21"/>
      <c r="V454" s="21"/>
    </row>
    <row r="455" spans="1:22" s="2" customFormat="1" ht="30" customHeight="1" x14ac:dyDescent="0.25">
      <c r="A455" s="542"/>
      <c r="B455" s="242" t="s">
        <v>251</v>
      </c>
      <c r="C455" s="342" t="s">
        <v>1256</v>
      </c>
      <c r="D455" s="100">
        <f t="shared" si="26"/>
        <v>891</v>
      </c>
      <c r="E455" s="427" t="s">
        <v>188</v>
      </c>
      <c r="F455" s="775">
        <v>0</v>
      </c>
      <c r="G455" s="924"/>
      <c r="H455" s="922" t="s">
        <v>567</v>
      </c>
      <c r="I455" s="923"/>
      <c r="J455" s="198" t="str">
        <f>IF(AND(F452="tidak ada",F455&lt;&gt;0),"CEK",IF(AND(F452="Ada",F455=0),"CEK",IF(F455="","Belum Terisi","")))</f>
        <v/>
      </c>
      <c r="K455" s="42" t="str">
        <f>IF(F454="","",IF(J455="CEK",F452&amp;" Perkebunan Lainnya",""))</f>
        <v/>
      </c>
      <c r="L455" s="44"/>
      <c r="M455" s="21"/>
      <c r="N455" s="21"/>
      <c r="O455" s="21"/>
      <c r="P455" s="21"/>
      <c r="Q455" s="21"/>
      <c r="R455" s="21"/>
      <c r="S455" s="21"/>
      <c r="T455" s="21"/>
      <c r="U455" s="21"/>
      <c r="V455" s="21"/>
    </row>
    <row r="456" spans="1:22" s="2" customFormat="1" ht="30" customHeight="1" x14ac:dyDescent="0.25">
      <c r="A456" s="542"/>
      <c r="B456" s="242" t="s">
        <v>255</v>
      </c>
      <c r="C456" s="342" t="s">
        <v>1265</v>
      </c>
      <c r="D456" s="100">
        <f t="shared" si="26"/>
        <v>892</v>
      </c>
      <c r="E456" s="427" t="s">
        <v>171</v>
      </c>
      <c r="F456" s="694" t="s">
        <v>263</v>
      </c>
      <c r="G456" s="925"/>
      <c r="H456" s="922"/>
      <c r="I456" s="923"/>
      <c r="J456" s="198" t="str">
        <f>IF(AND(F452="tidak ada",F456&lt;&gt;"tidak ada"),"CEK",IF(AND(F452="Ada",F456="Tidak Ada"),"CEK",IF(F456="","Belum Terisi","")))</f>
        <v/>
      </c>
      <c r="K456" s="42" t="str">
        <f>IF(F456="","",IF(J456="CEK",F452&amp;" Perkebunan Lainnya",""))</f>
        <v/>
      </c>
      <c r="L456" s="44"/>
      <c r="M456" s="21"/>
      <c r="N456" s="21"/>
      <c r="O456" s="21"/>
      <c r="P456" s="21"/>
      <c r="Q456" s="21"/>
      <c r="R456" s="21"/>
      <c r="S456" s="21"/>
      <c r="T456" s="21"/>
      <c r="U456" s="21"/>
      <c r="V456" s="21"/>
    </row>
    <row r="457" spans="1:22" s="2" customFormat="1" ht="30" customHeight="1" x14ac:dyDescent="0.25">
      <c r="A457" s="541"/>
      <c r="B457" s="354" t="s">
        <v>252</v>
      </c>
      <c r="C457" s="342" t="s">
        <v>1266</v>
      </c>
      <c r="D457" s="100">
        <f t="shared" si="26"/>
        <v>893</v>
      </c>
      <c r="E457" s="427" t="s">
        <v>174</v>
      </c>
      <c r="F457" s="697" t="s">
        <v>240</v>
      </c>
      <c r="G457" s="925"/>
      <c r="H457" s="922"/>
      <c r="I457" s="923"/>
      <c r="J457" s="198" t="str">
        <f>IF(AND(F452="tidak ada",F457&lt;&gt;"-"),"CEK",IF(AND(F452="Ada",F457="-"),"CEK",IF(F457="","Belum Terisi","")))</f>
        <v/>
      </c>
      <c r="K457" s="42" t="str">
        <f>IF(F457="","",IF(J457="CEK",F452&amp;" Perkebunan Lainnya",""))</f>
        <v/>
      </c>
      <c r="L457" s="44"/>
      <c r="M457" s="21"/>
      <c r="N457" s="21"/>
      <c r="O457" s="21"/>
      <c r="P457" s="21"/>
      <c r="Q457" s="21"/>
      <c r="R457" s="21"/>
      <c r="S457" s="21"/>
      <c r="T457" s="21"/>
      <c r="U457" s="21"/>
      <c r="V457" s="21"/>
    </row>
    <row r="458" spans="1:22" s="2" customFormat="1" ht="30" customHeight="1" x14ac:dyDescent="0.25">
      <c r="A458" s="559" t="s">
        <v>157</v>
      </c>
      <c r="B458" s="357"/>
      <c r="C458" s="356"/>
      <c r="D458" s="428"/>
      <c r="E458" s="429"/>
      <c r="F458" s="714"/>
      <c r="G458" s="925"/>
      <c r="H458" s="922"/>
      <c r="I458" s="923"/>
      <c r="J458" s="98"/>
      <c r="K458" s="31"/>
      <c r="L458" s="31"/>
      <c r="M458" s="21"/>
      <c r="N458" s="21"/>
      <c r="O458" s="21"/>
      <c r="P458" s="21"/>
      <c r="Q458" s="21"/>
      <c r="R458" s="21"/>
      <c r="S458" s="21"/>
      <c r="T458" s="21"/>
      <c r="U458" s="21"/>
      <c r="V458" s="21"/>
    </row>
    <row r="459" spans="1:22" s="27" customFormat="1" ht="30" customHeight="1" x14ac:dyDescent="0.25">
      <c r="A459" s="538">
        <f>A452+1</f>
        <v>96</v>
      </c>
      <c r="B459" s="366" t="s">
        <v>41</v>
      </c>
      <c r="C459" s="364" t="s">
        <v>1195</v>
      </c>
      <c r="D459" s="500">
        <f>D457+1</f>
        <v>894</v>
      </c>
      <c r="E459" s="455" t="s">
        <v>171</v>
      </c>
      <c r="F459" s="705" t="s">
        <v>2820</v>
      </c>
      <c r="G459" s="925"/>
      <c r="H459" s="922" t="s">
        <v>2517</v>
      </c>
      <c r="I459" s="923" t="s">
        <v>2634</v>
      </c>
      <c r="J459" s="200" t="str">
        <f>IF(LEN(F459)&gt;0,"","Belum Terisi")</f>
        <v/>
      </c>
      <c r="K459" s="42"/>
      <c r="L459" s="44"/>
      <c r="M459" s="853"/>
      <c r="N459" s="853"/>
      <c r="O459" s="853"/>
      <c r="P459" s="853"/>
      <c r="Q459" s="853"/>
      <c r="R459" s="853"/>
      <c r="S459" s="853"/>
      <c r="T459" s="853"/>
      <c r="U459" s="853"/>
      <c r="V459" s="853"/>
    </row>
    <row r="460" spans="1:22" s="27" customFormat="1" ht="30" customHeight="1" x14ac:dyDescent="0.25">
      <c r="A460" s="542"/>
      <c r="B460" s="367" t="s">
        <v>139</v>
      </c>
      <c r="C460" s="364" t="s">
        <v>1200</v>
      </c>
      <c r="D460" s="500">
        <f t="shared" ref="D460:D468" si="27">D459+1</f>
        <v>895</v>
      </c>
      <c r="E460" s="455" t="s">
        <v>158</v>
      </c>
      <c r="F460" s="817">
        <v>0</v>
      </c>
      <c r="G460" s="925"/>
      <c r="H460" s="922" t="s">
        <v>146</v>
      </c>
      <c r="I460" s="923" t="s">
        <v>2635</v>
      </c>
      <c r="J460" s="200" t="str">
        <f>IF(LEN(F460)&gt;0,"","Belum Terisi")</f>
        <v/>
      </c>
      <c r="K460" s="42"/>
      <c r="L460" s="44"/>
      <c r="M460" s="853"/>
      <c r="N460" s="853"/>
      <c r="O460" s="853"/>
      <c r="P460" s="853"/>
      <c r="Q460" s="853"/>
      <c r="R460" s="853"/>
      <c r="S460" s="853"/>
      <c r="T460" s="853"/>
      <c r="U460" s="853"/>
      <c r="V460" s="853"/>
    </row>
    <row r="461" spans="1:22" s="27" customFormat="1" ht="30" customHeight="1" x14ac:dyDescent="0.25">
      <c r="A461" s="538">
        <f>A459+1</f>
        <v>97</v>
      </c>
      <c r="B461" s="368" t="s">
        <v>41</v>
      </c>
      <c r="C461" s="364" t="s">
        <v>733</v>
      </c>
      <c r="D461" s="500">
        <f t="shared" si="27"/>
        <v>896</v>
      </c>
      <c r="E461" s="455" t="s">
        <v>171</v>
      </c>
      <c r="F461" s="771" t="s">
        <v>263</v>
      </c>
      <c r="G461" s="925"/>
      <c r="H461" s="928" t="s">
        <v>863</v>
      </c>
      <c r="I461" s="923" t="s">
        <v>2636</v>
      </c>
      <c r="J461" s="200" t="str">
        <f>IF(F461="","Belum Terisi",IF(AND('INPUTAN DESA ....'!$F$115&lt;&gt;"Pesisir",F461="Ada"),"CEK",""))</f>
        <v/>
      </c>
      <c r="K461" s="42" t="str">
        <f>IF(J461="CEK","Bukan Topografi Pesisir","")</f>
        <v/>
      </c>
      <c r="L461" s="44"/>
      <c r="M461" s="853"/>
      <c r="N461" s="853"/>
      <c r="O461" s="853"/>
      <c r="P461" s="853"/>
      <c r="Q461" s="853"/>
      <c r="R461" s="853"/>
      <c r="S461" s="853"/>
      <c r="T461" s="853"/>
      <c r="U461" s="853"/>
      <c r="V461" s="853"/>
    </row>
    <row r="462" spans="1:22" s="27" customFormat="1" ht="30" customHeight="1" x14ac:dyDescent="0.25">
      <c r="A462" s="542"/>
      <c r="B462" s="368" t="s">
        <v>139</v>
      </c>
      <c r="C462" s="364" t="s">
        <v>734</v>
      </c>
      <c r="D462" s="500">
        <f t="shared" si="27"/>
        <v>897</v>
      </c>
      <c r="E462" s="455" t="s">
        <v>171</v>
      </c>
      <c r="F462" s="822" t="s">
        <v>263</v>
      </c>
      <c r="G462" s="924"/>
      <c r="H462" s="928" t="s">
        <v>2511</v>
      </c>
      <c r="I462" s="923" t="s">
        <v>2637</v>
      </c>
      <c r="J462" s="200" t="str">
        <f>IF(F462="","Belum Terisi",IF(AND(F461="Ada",F462="Tidak Ada"),"CEK",IF(AND(F461="Tidak Ada",F462&lt;&gt;"Tidak Ada"),"CEK","")))</f>
        <v/>
      </c>
      <c r="K462" s="42" t="str">
        <f>IF(J462="CEK",F461&amp; " Produksi Garam di Desa","")</f>
        <v/>
      </c>
      <c r="L462" s="44"/>
      <c r="M462" s="853"/>
      <c r="N462" s="853"/>
      <c r="O462" s="853"/>
      <c r="P462" s="853"/>
      <c r="Q462" s="853"/>
      <c r="R462" s="853"/>
      <c r="S462" s="853"/>
      <c r="T462" s="853"/>
      <c r="U462" s="853"/>
      <c r="V462" s="853"/>
    </row>
    <row r="463" spans="1:22" s="27" customFormat="1" ht="30" customHeight="1" x14ac:dyDescent="0.25">
      <c r="A463" s="541"/>
      <c r="B463" s="368" t="s">
        <v>251</v>
      </c>
      <c r="C463" s="364" t="s">
        <v>2514</v>
      </c>
      <c r="D463" s="500">
        <f t="shared" si="27"/>
        <v>898</v>
      </c>
      <c r="E463" s="455" t="s">
        <v>171</v>
      </c>
      <c r="F463" s="770" t="s">
        <v>263</v>
      </c>
      <c r="G463" s="924"/>
      <c r="H463" s="928" t="s">
        <v>2512</v>
      </c>
      <c r="I463" s="923" t="s">
        <v>2638</v>
      </c>
      <c r="J463" s="200" t="str">
        <f>IF(F463="","Belum Terisi",IF(AND(F461="Ada",F463="Tidak Ada"),"CEK",IF(AND(F461="Tidak Ada",F463&lt;&gt;"Tidak Ada"),"CEK","")))</f>
        <v/>
      </c>
      <c r="K463" s="42" t="str">
        <f>IF(J463="CEK",F461&amp; " Produksi Garam di Desa","")</f>
        <v/>
      </c>
      <c r="L463" s="44"/>
      <c r="M463" s="853"/>
      <c r="N463" s="853"/>
      <c r="O463" s="853"/>
      <c r="P463" s="853"/>
      <c r="Q463" s="853"/>
      <c r="R463" s="853"/>
      <c r="S463" s="853"/>
      <c r="T463" s="853"/>
      <c r="U463" s="853"/>
      <c r="V463" s="853"/>
    </row>
    <row r="464" spans="1:22" s="27" customFormat="1" ht="30" customHeight="1" x14ac:dyDescent="0.25">
      <c r="A464" s="538">
        <f>A461+1</f>
        <v>98</v>
      </c>
      <c r="B464" s="366" t="s">
        <v>41</v>
      </c>
      <c r="C464" s="364" t="s">
        <v>2518</v>
      </c>
      <c r="D464" s="500">
        <f t="shared" si="27"/>
        <v>899</v>
      </c>
      <c r="E464" s="455" t="s">
        <v>171</v>
      </c>
      <c r="F464" s="771" t="s">
        <v>263</v>
      </c>
      <c r="G464" s="924"/>
      <c r="H464" s="928" t="s">
        <v>2513</v>
      </c>
      <c r="I464" s="923"/>
      <c r="J464" s="198" t="str">
        <f>IF(LEN(F464)&gt;0,"","Belum Terisi")</f>
        <v/>
      </c>
      <c r="K464" s="42"/>
      <c r="L464" s="44"/>
      <c r="M464" s="853"/>
      <c r="N464" s="853"/>
      <c r="O464" s="853"/>
      <c r="P464" s="853"/>
      <c r="Q464" s="853"/>
      <c r="R464" s="853"/>
      <c r="S464" s="853"/>
      <c r="T464" s="853"/>
      <c r="U464" s="853"/>
      <c r="V464" s="853"/>
    </row>
    <row r="465" spans="1:22" s="27" customFormat="1" ht="30" customHeight="1" x14ac:dyDescent="0.25">
      <c r="A465" s="542"/>
      <c r="B465" s="368" t="s">
        <v>139</v>
      </c>
      <c r="C465" s="364" t="s">
        <v>2775</v>
      </c>
      <c r="D465" s="500">
        <f t="shared" si="27"/>
        <v>900</v>
      </c>
      <c r="E465" s="455" t="s">
        <v>171</v>
      </c>
      <c r="F465" s="770" t="s">
        <v>263</v>
      </c>
      <c r="G465" s="924"/>
      <c r="H465" s="949" t="s">
        <v>2516</v>
      </c>
      <c r="I465" s="923"/>
      <c r="J465" s="198" t="str">
        <f>IF(LEN(F465)&gt;0,"","Belum Terisi")</f>
        <v/>
      </c>
      <c r="K465" s="42"/>
      <c r="L465" s="44"/>
      <c r="M465" s="853"/>
      <c r="N465" s="853"/>
      <c r="O465" s="853"/>
      <c r="P465" s="853"/>
      <c r="Q465" s="853"/>
      <c r="R465" s="853"/>
      <c r="S465" s="853"/>
      <c r="T465" s="853"/>
      <c r="U465" s="853"/>
      <c r="V465" s="853"/>
    </row>
    <row r="466" spans="1:22" s="27" customFormat="1" ht="30" customHeight="1" x14ac:dyDescent="0.25">
      <c r="A466" s="537">
        <f>A464+1</f>
        <v>99</v>
      </c>
      <c r="B466" s="823"/>
      <c r="C466" s="364" t="s">
        <v>2520</v>
      </c>
      <c r="D466" s="500">
        <f t="shared" si="27"/>
        <v>901</v>
      </c>
      <c r="E466" s="455" t="s">
        <v>171</v>
      </c>
      <c r="F466" s="770" t="s">
        <v>263</v>
      </c>
      <c r="G466" s="924"/>
      <c r="H466" s="949" t="s">
        <v>2515</v>
      </c>
      <c r="I466" s="923"/>
      <c r="J466" s="198" t="str">
        <f>IF(LEN(F466)&gt;0,"","Belum Terisi")</f>
        <v/>
      </c>
      <c r="K466" s="42"/>
      <c r="L466" s="44"/>
      <c r="M466" s="853"/>
      <c r="N466" s="853"/>
      <c r="O466" s="853"/>
      <c r="P466" s="853"/>
      <c r="Q466" s="853"/>
      <c r="R466" s="853"/>
      <c r="S466" s="853"/>
      <c r="T466" s="853"/>
      <c r="U466" s="853"/>
      <c r="V466" s="853"/>
    </row>
    <row r="467" spans="1:22" s="27" customFormat="1" ht="30" customHeight="1" x14ac:dyDescent="0.25">
      <c r="A467" s="537">
        <f>A466+1</f>
        <v>100</v>
      </c>
      <c r="B467" s="823"/>
      <c r="C467" s="364" t="s">
        <v>2519</v>
      </c>
      <c r="D467" s="500">
        <f t="shared" si="27"/>
        <v>902</v>
      </c>
      <c r="E467" s="455" t="s">
        <v>171</v>
      </c>
      <c r="F467" s="770" t="s">
        <v>263</v>
      </c>
      <c r="G467" s="924"/>
      <c r="H467" s="925"/>
      <c r="I467" s="923"/>
      <c r="J467" s="200" t="str">
        <f>IF(F467="","Belum Terisi",IF(AND(OR('INPUTAN DESA ....'!$F$115="Dataran Rendah",'INPUTAN DESA ....'!$F$115="Dataran Tinggi/ Pegunungan",'INPUTAN DESA ....'!$F$115="Rawa"),F467="Ada"),"CEK",""))</f>
        <v/>
      </c>
      <c r="K467" s="42" t="str">
        <f>IF(J467="CEK","Bukan Topografi Pesisir atau Kepulauan","")</f>
        <v/>
      </c>
      <c r="L467" s="44"/>
      <c r="M467" s="853"/>
      <c r="N467" s="853"/>
      <c r="O467" s="853"/>
      <c r="P467" s="853"/>
      <c r="Q467" s="853"/>
      <c r="R467" s="853"/>
      <c r="S467" s="853"/>
      <c r="T467" s="853"/>
      <c r="U467" s="853"/>
      <c r="V467" s="853"/>
    </row>
    <row r="468" spans="1:22" s="2" customFormat="1" ht="30" customHeight="1" x14ac:dyDescent="0.25">
      <c r="A468" s="538">
        <f>A467+1</f>
        <v>101</v>
      </c>
      <c r="B468" s="357"/>
      <c r="C468" s="342" t="s">
        <v>811</v>
      </c>
      <c r="D468" s="500">
        <f t="shared" si="27"/>
        <v>903</v>
      </c>
      <c r="E468" s="427" t="s">
        <v>171</v>
      </c>
      <c r="F468" s="699" t="s">
        <v>263</v>
      </c>
      <c r="G468" s="924"/>
      <c r="H468" s="925"/>
      <c r="I468" s="923"/>
      <c r="J468" s="198" t="str">
        <f>IF(LEN(F468)&gt;0,"","Belum Terisi")</f>
        <v/>
      </c>
      <c r="K468" s="31"/>
      <c r="L468" s="43"/>
      <c r="M468" s="21"/>
      <c r="N468" s="21"/>
      <c r="O468" s="21"/>
      <c r="P468" s="21"/>
      <c r="Q468" s="21"/>
      <c r="R468" s="21"/>
      <c r="S468" s="21"/>
      <c r="T468" s="21"/>
      <c r="U468" s="21"/>
      <c r="V468" s="21"/>
    </row>
    <row r="469" spans="1:22" s="2" customFormat="1" ht="30" customHeight="1" x14ac:dyDescent="0.25">
      <c r="A469" s="560" t="s">
        <v>38</v>
      </c>
      <c r="B469" s="239"/>
      <c r="C469" s="240"/>
      <c r="D469" s="454"/>
      <c r="E469" s="440"/>
      <c r="F469" s="714"/>
      <c r="G469" s="924"/>
      <c r="H469" s="925"/>
      <c r="I469" s="923"/>
      <c r="J469" s="98"/>
      <c r="K469" s="31"/>
      <c r="L469" s="43"/>
      <c r="M469" s="21"/>
      <c r="N469" s="21"/>
      <c r="O469" s="21"/>
      <c r="P469" s="21"/>
      <c r="Q469" s="21"/>
      <c r="R469" s="21"/>
      <c r="S469" s="21"/>
      <c r="T469" s="21"/>
      <c r="U469" s="21"/>
      <c r="V469" s="21"/>
    </row>
    <row r="470" spans="1:22" s="2" customFormat="1" ht="30" customHeight="1" x14ac:dyDescent="0.25">
      <c r="A470" s="650" t="s">
        <v>49</v>
      </c>
      <c r="B470" s="357"/>
      <c r="C470" s="240"/>
      <c r="D470" s="465"/>
      <c r="E470" s="429"/>
      <c r="F470" s="714"/>
      <c r="G470" s="924"/>
      <c r="H470" s="925"/>
      <c r="I470" s="923"/>
      <c r="J470" s="98"/>
      <c r="K470" s="31"/>
      <c r="L470" s="43"/>
      <c r="M470" s="21"/>
      <c r="N470" s="21"/>
      <c r="O470" s="21"/>
      <c r="P470" s="21"/>
      <c r="Q470" s="21"/>
      <c r="R470" s="21"/>
      <c r="S470" s="21"/>
      <c r="T470" s="21"/>
      <c r="U470" s="21"/>
      <c r="V470" s="21"/>
    </row>
    <row r="471" spans="1:22" s="2" customFormat="1" ht="30" customHeight="1" x14ac:dyDescent="0.25">
      <c r="A471" s="538">
        <f>A468+1</f>
        <v>102</v>
      </c>
      <c r="B471" s="366" t="s">
        <v>41</v>
      </c>
      <c r="C471" s="340" t="s">
        <v>1889</v>
      </c>
      <c r="D471" s="100">
        <f>D468+1</f>
        <v>904</v>
      </c>
      <c r="E471" s="427" t="s">
        <v>42</v>
      </c>
      <c r="F471" s="718">
        <v>255</v>
      </c>
      <c r="G471" s="924"/>
      <c r="H471" s="933" t="s">
        <v>689</v>
      </c>
      <c r="I471" s="923"/>
      <c r="J471" s="198" t="str">
        <f>IF(F471="","Belum Terisi",IF(SUM($F$471,$F$473,$F$475,$F$477,$F$479,$F$481,$F$483,$F$485,$F$487,$F$489,$F$492,$F$494)&gt;'INPUTAN DESA ....'!$F$119,"CEK",""))</f>
        <v/>
      </c>
      <c r="K471" s="31" t="str">
        <f>IF(J471="CEK","Total Pekerja Laki-laki Tidak lebih besar dari Jumlah Penduduk Laki-Laki di Desa","")</f>
        <v/>
      </c>
      <c r="L471" s="31"/>
      <c r="M471" s="21"/>
      <c r="N471" s="21"/>
      <c r="O471" s="21"/>
      <c r="P471" s="21"/>
      <c r="Q471" s="21"/>
      <c r="R471" s="21"/>
      <c r="S471" s="21"/>
      <c r="T471" s="21"/>
      <c r="U471" s="21"/>
      <c r="V471" s="21"/>
    </row>
    <row r="472" spans="1:22" s="2" customFormat="1" ht="30" customHeight="1" x14ac:dyDescent="0.25">
      <c r="A472" s="651"/>
      <c r="B472" s="367" t="s">
        <v>139</v>
      </c>
      <c r="C472" s="345" t="s">
        <v>2483</v>
      </c>
      <c r="D472" s="100">
        <f t="shared" ref="D472:D497" si="28">D471+1</f>
        <v>905</v>
      </c>
      <c r="E472" s="427" t="s">
        <v>42</v>
      </c>
      <c r="F472" s="717">
        <v>302</v>
      </c>
      <c r="G472" s="924"/>
      <c r="H472" s="933" t="s">
        <v>690</v>
      </c>
      <c r="I472" s="923"/>
      <c r="J472" s="198" t="str">
        <f>IF(F472="","Belum Terisi",IF(SUM($F$472,$F$474,$F$476,$F$478,$F$480,$F$482,$F$484,$F$486,$F$488,$F$490,$F$491,$F$493,$F$495)&gt;'INPUTAN DESA ....'!$F$120,"CEK",""))</f>
        <v/>
      </c>
      <c r="K472" s="31" t="str">
        <f>IF(J472="CEK","Total Pekerja Perempuan Tidak lebih besar dari Jumlah Penduduk Perempuan di Desa","")</f>
        <v/>
      </c>
      <c r="L472" s="43"/>
      <c r="M472" s="21"/>
      <c r="N472" s="21"/>
      <c r="O472" s="21"/>
      <c r="P472" s="21"/>
      <c r="Q472" s="21"/>
      <c r="R472" s="21"/>
      <c r="S472" s="21"/>
      <c r="T472" s="21"/>
      <c r="U472" s="21"/>
      <c r="V472" s="21"/>
    </row>
    <row r="473" spans="1:22" s="2" customFormat="1" ht="30" customHeight="1" x14ac:dyDescent="0.25">
      <c r="A473" s="538">
        <f>A471+1</f>
        <v>103</v>
      </c>
      <c r="B473" s="366" t="s">
        <v>41</v>
      </c>
      <c r="C473" s="340" t="s">
        <v>1890</v>
      </c>
      <c r="D473" s="100">
        <f t="shared" si="28"/>
        <v>906</v>
      </c>
      <c r="E473" s="427" t="s">
        <v>42</v>
      </c>
      <c r="F473" s="718">
        <v>0</v>
      </c>
      <c r="G473" s="924"/>
      <c r="H473" s="933" t="s">
        <v>689</v>
      </c>
      <c r="I473" s="923"/>
      <c r="J473" s="198" t="str">
        <f>IF(F473="","Belum Terisi",IF(SUM($F$471,$F$473,$F$475,$F$477,$F$479,$F$481,$F$483,$F$485,$F$487,$F$489,$F$492,$F$494)&gt;'INPUTAN DESA ....'!$F$119,"CEK",""))</f>
        <v/>
      </c>
      <c r="K473" s="31" t="str">
        <f>IF(J473="CEK","Total Pekerja Laki-laki Tidak lebih besar dari Jumlah Penduduk Laki-Laki di Desa","")</f>
        <v/>
      </c>
      <c r="L473" s="43"/>
      <c r="M473" s="21"/>
      <c r="N473" s="21"/>
      <c r="O473" s="21"/>
      <c r="P473" s="21"/>
      <c r="Q473" s="21"/>
      <c r="R473" s="21"/>
      <c r="S473" s="21"/>
      <c r="T473" s="21"/>
      <c r="U473" s="21"/>
      <c r="V473" s="21"/>
    </row>
    <row r="474" spans="1:22" s="2" customFormat="1" ht="30" customHeight="1" x14ac:dyDescent="0.25">
      <c r="A474" s="651"/>
      <c r="B474" s="367" t="s">
        <v>139</v>
      </c>
      <c r="C474" s="345" t="s">
        <v>2484</v>
      </c>
      <c r="D474" s="100">
        <f t="shared" si="28"/>
        <v>907</v>
      </c>
      <c r="E474" s="427" t="s">
        <v>42</v>
      </c>
      <c r="F474" s="717">
        <v>0</v>
      </c>
      <c r="G474" s="924"/>
      <c r="H474" s="933" t="s">
        <v>690</v>
      </c>
      <c r="I474" s="923"/>
      <c r="J474" s="198" t="str">
        <f>IF(F474="","Belum Terisi",IF(SUM($F$472,$F$474,$F$476,$F$478,$F$480,$F$482,$F$484,$F$486,$F$488,$F$490,$F$491,$F$493,$F$495)&gt;'INPUTAN DESA ....'!$F$120,"CEK",""))</f>
        <v/>
      </c>
      <c r="K474" s="31" t="str">
        <f>IF(J474="CEK","Total Pekerja Perempuan Tidak lebih besar dari Jumlah Penduduk Perempuan di Desa","")</f>
        <v/>
      </c>
      <c r="L474" s="43"/>
      <c r="M474" s="21"/>
      <c r="N474" s="21"/>
      <c r="O474" s="21"/>
      <c r="P474" s="21"/>
      <c r="Q474" s="21"/>
      <c r="R474" s="21"/>
      <c r="S474" s="21"/>
      <c r="T474" s="21"/>
      <c r="U474" s="21"/>
      <c r="V474" s="21"/>
    </row>
    <row r="475" spans="1:22" s="2" customFormat="1" ht="30" customHeight="1" x14ac:dyDescent="0.25">
      <c r="A475" s="538">
        <f>A473+1</f>
        <v>104</v>
      </c>
      <c r="B475" s="366" t="s">
        <v>41</v>
      </c>
      <c r="C475" s="340" t="s">
        <v>1891</v>
      </c>
      <c r="D475" s="100">
        <f t="shared" si="28"/>
        <v>908</v>
      </c>
      <c r="E475" s="427" t="s">
        <v>42</v>
      </c>
      <c r="F475" s="718">
        <v>7</v>
      </c>
      <c r="G475" s="924"/>
      <c r="H475" s="933" t="s">
        <v>689</v>
      </c>
      <c r="I475" s="923"/>
      <c r="J475" s="198" t="str">
        <f>IF(F475="","Belum Terisi",IF(SUM($F$471,$F$473,$F$475,$F$477,$F$479,$F$481,$F$483,$F$485,$F$487,$F$489,$F$492,$F$494)&gt;'INPUTAN DESA ....'!$F$119,"CEK",""))</f>
        <v/>
      </c>
      <c r="K475" s="31" t="str">
        <f>IF(J475="CEK","Total Pekerja Laki-laki Tidak lebih besar dari Jumlah Penduduk Laki-Laki di Desa","")</f>
        <v/>
      </c>
      <c r="L475" s="31"/>
      <c r="M475" s="21"/>
      <c r="N475" s="21"/>
      <c r="O475" s="21"/>
      <c r="P475" s="21"/>
      <c r="Q475" s="21"/>
      <c r="R475" s="21"/>
      <c r="S475" s="21"/>
      <c r="T475" s="21"/>
      <c r="U475" s="21"/>
      <c r="V475" s="21"/>
    </row>
    <row r="476" spans="1:22" s="2" customFormat="1" ht="30" customHeight="1" x14ac:dyDescent="0.25">
      <c r="A476" s="651"/>
      <c r="B476" s="367" t="s">
        <v>139</v>
      </c>
      <c r="C476" s="345" t="s">
        <v>2485</v>
      </c>
      <c r="D476" s="100">
        <f t="shared" si="28"/>
        <v>909</v>
      </c>
      <c r="E476" s="427" t="s">
        <v>42</v>
      </c>
      <c r="F476" s="717">
        <v>8</v>
      </c>
      <c r="G476" s="924"/>
      <c r="H476" s="933" t="s">
        <v>690</v>
      </c>
      <c r="I476" s="923"/>
      <c r="J476" s="198" t="str">
        <f>IF(F476="","Belum Terisi",IF(SUM($F$472,$F$474,$F$476,$F$478,$F$480,$F$482,$F$484,$F$486,$F$488,$F$490,$F$491,$F$493,$F$495)&gt;'INPUTAN DESA ....'!$F$120,"CEK",""))</f>
        <v/>
      </c>
      <c r="K476" s="31" t="str">
        <f>IF(J476="CEK","Total Pekerja Perempuan Tidak lebih besar dari Jumlah Penduduk Perempuan di Desa","")</f>
        <v/>
      </c>
      <c r="L476" s="43"/>
      <c r="M476" s="21"/>
      <c r="N476" s="21"/>
      <c r="O476" s="21"/>
      <c r="P476" s="21"/>
      <c r="Q476" s="21"/>
      <c r="R476" s="21"/>
      <c r="S476" s="21"/>
      <c r="T476" s="21"/>
      <c r="U476" s="21"/>
      <c r="V476" s="21"/>
    </row>
    <row r="477" spans="1:22" s="2" customFormat="1" ht="30" customHeight="1" x14ac:dyDescent="0.25">
      <c r="A477" s="538">
        <f>A475+1</f>
        <v>105</v>
      </c>
      <c r="B477" s="366" t="s">
        <v>41</v>
      </c>
      <c r="C477" s="340" t="s">
        <v>1892</v>
      </c>
      <c r="D477" s="100">
        <f t="shared" si="28"/>
        <v>910</v>
      </c>
      <c r="E477" s="427" t="s">
        <v>42</v>
      </c>
      <c r="F477" s="718">
        <v>16</v>
      </c>
      <c r="G477" s="924"/>
      <c r="H477" s="933" t="s">
        <v>660</v>
      </c>
      <c r="I477" s="923"/>
      <c r="J477" s="198" t="str">
        <f>IF(F477="","Belum Terisi",IF(SUM($F$471,$F$473,$F$475,$F$477,$F$479,$F$481,$F$483,$F$485,$F$487,$F$489,$F$492,$F$494)&gt;'INPUTAN DESA ....'!$F$119,"CEK",""))</f>
        <v/>
      </c>
      <c r="K477" s="31" t="str">
        <f>IF(J477="CEK","Total Pekerja Laki-laki Tidak lebih besar dari Jumlah Penduduk Laki-Laki di Desa","")</f>
        <v/>
      </c>
      <c r="L477" s="43"/>
      <c r="M477" s="21"/>
      <c r="N477" s="21"/>
      <c r="O477" s="21"/>
      <c r="P477" s="21"/>
      <c r="Q477" s="21"/>
      <c r="R477" s="21"/>
      <c r="S477" s="21"/>
      <c r="T477" s="21"/>
      <c r="U477" s="21"/>
      <c r="V477" s="21"/>
    </row>
    <row r="478" spans="1:22" s="2" customFormat="1" ht="30" customHeight="1" x14ac:dyDescent="0.25">
      <c r="A478" s="651"/>
      <c r="B478" s="367" t="s">
        <v>139</v>
      </c>
      <c r="C478" s="345" t="s">
        <v>2486</v>
      </c>
      <c r="D478" s="100">
        <f t="shared" si="28"/>
        <v>911</v>
      </c>
      <c r="E478" s="427" t="s">
        <v>42</v>
      </c>
      <c r="F478" s="717">
        <v>15</v>
      </c>
      <c r="G478" s="924"/>
      <c r="H478" s="933" t="s">
        <v>660</v>
      </c>
      <c r="I478" s="923"/>
      <c r="J478" s="198" t="str">
        <f>IF(F478="","Belum Terisi",IF(SUM($F$472,$F$474,$F$476,$F$478,$F$480,$F$482,$F$484,$F$486,$F$488,$F$490,$F$491,$F$493,$F$495)&gt;'INPUTAN DESA ....'!$F$120,"CEK",""))</f>
        <v/>
      </c>
      <c r="K478" s="31" t="str">
        <f>IF(J478="CEK","Total Pekerja Perempuan Tidak lebih besar dari Jumlah Penduduk Perempuan di Desa","")</f>
        <v/>
      </c>
      <c r="L478" s="43"/>
      <c r="M478" s="21"/>
      <c r="N478" s="21"/>
      <c r="O478" s="21"/>
      <c r="P478" s="21"/>
      <c r="Q478" s="21"/>
      <c r="R478" s="21"/>
      <c r="S478" s="21"/>
      <c r="T478" s="21"/>
      <c r="U478" s="21"/>
      <c r="V478" s="21"/>
    </row>
    <row r="479" spans="1:22" s="2" customFormat="1" ht="30" customHeight="1" x14ac:dyDescent="0.25">
      <c r="A479" s="538">
        <f>A477+1</f>
        <v>106</v>
      </c>
      <c r="B479" s="366" t="s">
        <v>41</v>
      </c>
      <c r="C479" s="340" t="s">
        <v>1893</v>
      </c>
      <c r="D479" s="100">
        <f t="shared" si="28"/>
        <v>912</v>
      </c>
      <c r="E479" s="427" t="s">
        <v>42</v>
      </c>
      <c r="F479" s="718">
        <v>8</v>
      </c>
      <c r="G479" s="924"/>
      <c r="H479" s="933" t="s">
        <v>660</v>
      </c>
      <c r="I479" s="923"/>
      <c r="J479" s="198" t="str">
        <f>IF(F479="","Belum Terisi",IF(SUM($F$471,$F$473,$F$475,$F$477,$F$479,$F$481,$F$483,$F$485,$F$487,$F$489,$F$492,$F$494)&gt;'INPUTAN DESA ....'!$F$119,"CEK",""))</f>
        <v/>
      </c>
      <c r="K479" s="31" t="str">
        <f>IF(J479="CEK","Total Pekerja Laki-laki Tidak lebih besar dari Jumlah Penduduk Laki-Laki di Desa","")</f>
        <v/>
      </c>
      <c r="L479" s="31"/>
      <c r="M479" s="21"/>
      <c r="N479" s="21"/>
      <c r="O479" s="21"/>
      <c r="P479" s="21"/>
      <c r="Q479" s="21"/>
      <c r="R479" s="21"/>
      <c r="S479" s="21"/>
      <c r="T479" s="21"/>
      <c r="U479" s="21"/>
      <c r="V479" s="21"/>
    </row>
    <row r="480" spans="1:22" s="2" customFormat="1" ht="30" customHeight="1" x14ac:dyDescent="0.25">
      <c r="A480" s="651"/>
      <c r="B480" s="367" t="s">
        <v>139</v>
      </c>
      <c r="C480" s="345" t="s">
        <v>2487</v>
      </c>
      <c r="D480" s="100">
        <f t="shared" si="28"/>
        <v>913</v>
      </c>
      <c r="E480" s="427" t="s">
        <v>42</v>
      </c>
      <c r="F480" s="717">
        <v>6</v>
      </c>
      <c r="G480" s="924"/>
      <c r="H480" s="933" t="s">
        <v>660</v>
      </c>
      <c r="I480" s="923"/>
      <c r="J480" s="198" t="str">
        <f>IF(F480="","Belum Terisi",IF(SUM($F$472,$F$474,$F$476,$F$478,$F$480,$F$482,$F$484,$F$486,$F$488,$F$490,$F$491,$F$493,$F$495)&gt;'INPUTAN DESA ....'!$F$120,"CEK",""))</f>
        <v/>
      </c>
      <c r="K480" s="31" t="str">
        <f>IF(J480="CEK","Total Pekerja Perempuan Tidak lebih besar dari Jumlah Penduduk Perempuan di Desa","")</f>
        <v/>
      </c>
      <c r="L480" s="43"/>
      <c r="M480" s="21"/>
      <c r="N480" s="21"/>
      <c r="O480" s="21"/>
      <c r="P480" s="21"/>
      <c r="Q480" s="21"/>
      <c r="R480" s="21"/>
      <c r="S480" s="21"/>
      <c r="T480" s="21"/>
      <c r="U480" s="21"/>
      <c r="V480" s="21"/>
    </row>
    <row r="481" spans="1:22" s="2" customFormat="1" ht="30" customHeight="1" x14ac:dyDescent="0.25">
      <c r="A481" s="538">
        <f>A479+1</f>
        <v>107</v>
      </c>
      <c r="B481" s="366" t="s">
        <v>41</v>
      </c>
      <c r="C481" s="340" t="s">
        <v>1894</v>
      </c>
      <c r="D481" s="100">
        <f t="shared" si="28"/>
        <v>914</v>
      </c>
      <c r="E481" s="427" t="s">
        <v>42</v>
      </c>
      <c r="F481" s="718">
        <v>352</v>
      </c>
      <c r="G481" s="924"/>
      <c r="H481" s="933" t="s">
        <v>660</v>
      </c>
      <c r="I481" s="923"/>
      <c r="J481" s="198" t="str">
        <f>IF(F481="","Belum Terisi",IF(SUM($F$471,$F$473,$F$475,$F$477,$F$479,$F$481,$F$483,$F$485,$F$487,$F$489,$F$492,$F$494)&gt;'INPUTAN DESA ....'!$F$119,"CEK",""))</f>
        <v/>
      </c>
      <c r="K481" s="31" t="str">
        <f>IF(J481="CEK","Total Pekerja Laki-laki Tidak lebih besar dari Jumlah Penduduk Laki-Laki di Desa","")</f>
        <v/>
      </c>
      <c r="L481" s="43"/>
      <c r="M481" s="21"/>
      <c r="N481" s="21"/>
      <c r="O481" s="21"/>
      <c r="P481" s="21"/>
      <c r="Q481" s="21"/>
      <c r="R481" s="21"/>
      <c r="S481" s="21"/>
      <c r="T481" s="21"/>
      <c r="U481" s="21"/>
      <c r="V481" s="21"/>
    </row>
    <row r="482" spans="1:22" s="2" customFormat="1" ht="30" customHeight="1" x14ac:dyDescent="0.25">
      <c r="A482" s="651"/>
      <c r="B482" s="367" t="s">
        <v>139</v>
      </c>
      <c r="C482" s="345" t="s">
        <v>2488</v>
      </c>
      <c r="D482" s="100">
        <f t="shared" si="28"/>
        <v>915</v>
      </c>
      <c r="E482" s="427" t="s">
        <v>42</v>
      </c>
      <c r="F482" s="717">
        <v>264</v>
      </c>
      <c r="G482" s="924"/>
      <c r="H482" s="933" t="s">
        <v>660</v>
      </c>
      <c r="I482" s="923"/>
      <c r="J482" s="198" t="str">
        <f>IF(F482="","Belum Terisi",IF(SUM($F$472,$F$474,$F$476,$F$478,$F$480,$F$482,$F$484,$F$486,$F$488,$F$490,$F$491,$F$493,$F$495)&gt;'INPUTAN DESA ....'!$F$120,"CEK",""))</f>
        <v/>
      </c>
      <c r="K482" s="31" t="str">
        <f>IF(J482="CEK","Total Pekerja Perempuan Tidak lebih besar dari Jumlah Penduduk Perempuan di Desa","")</f>
        <v/>
      </c>
      <c r="L482" s="43"/>
      <c r="M482" s="21"/>
      <c r="N482" s="21"/>
      <c r="O482" s="21"/>
      <c r="P482" s="21"/>
      <c r="Q482" s="21"/>
      <c r="R482" s="21"/>
      <c r="S482" s="21"/>
      <c r="T482" s="21"/>
      <c r="U482" s="21"/>
      <c r="V482" s="21"/>
    </row>
    <row r="483" spans="1:22" s="2" customFormat="1" ht="30" customHeight="1" x14ac:dyDescent="0.25">
      <c r="A483" s="538">
        <f>A481+1</f>
        <v>108</v>
      </c>
      <c r="B483" s="366" t="s">
        <v>41</v>
      </c>
      <c r="C483" s="340" t="s">
        <v>1895</v>
      </c>
      <c r="D483" s="100">
        <f t="shared" si="28"/>
        <v>916</v>
      </c>
      <c r="E483" s="427" t="s">
        <v>42</v>
      </c>
      <c r="F483" s="718">
        <v>138</v>
      </c>
      <c r="G483" s="924"/>
      <c r="H483" s="933" t="s">
        <v>660</v>
      </c>
      <c r="I483" s="923"/>
      <c r="J483" s="198" t="str">
        <f>IF(F483="","Belum Terisi",IF(SUM($F$471,$F$473,$F$475,$F$477,$F$479,$F$481,$F$483,$F$485,$F$487,$F$489,$F$492,$F$494)&gt;'INPUTAN DESA ....'!$F$119,"CEK",""))</f>
        <v/>
      </c>
      <c r="K483" s="31" t="str">
        <f>IF(J483="CEK","Total Pekerja Laki-laki Tidak lebih besar dari Jumlah Penduduk Laki-Laki di Desa","")</f>
        <v/>
      </c>
      <c r="L483" s="31"/>
      <c r="M483" s="21"/>
      <c r="N483" s="21"/>
      <c r="O483" s="21"/>
      <c r="P483" s="21"/>
      <c r="Q483" s="21"/>
      <c r="R483" s="21"/>
      <c r="S483" s="21"/>
      <c r="T483" s="21"/>
      <c r="U483" s="21"/>
      <c r="V483" s="21"/>
    </row>
    <row r="484" spans="1:22" s="2" customFormat="1" ht="30" customHeight="1" x14ac:dyDescent="0.25">
      <c r="A484" s="651"/>
      <c r="B484" s="367" t="s">
        <v>139</v>
      </c>
      <c r="C484" s="345" t="s">
        <v>2489</v>
      </c>
      <c r="D484" s="100">
        <f t="shared" si="28"/>
        <v>917</v>
      </c>
      <c r="E484" s="427" t="s">
        <v>42</v>
      </c>
      <c r="F484" s="717">
        <v>100</v>
      </c>
      <c r="G484" s="924"/>
      <c r="H484" s="933" t="s">
        <v>660</v>
      </c>
      <c r="I484" s="923"/>
      <c r="J484" s="198" t="str">
        <f>IF(F484="","Belum Terisi",IF(SUM($F$472,$F$474,$F$476,$F$478,$F$480,$F$482,$F$484,$F$486,$F$488,$F$490,$F$491,$F$493,$F$495)&gt;'INPUTAN DESA ....'!$F$120,"CEK",""))</f>
        <v/>
      </c>
      <c r="K484" s="31" t="str">
        <f>IF(J484="CEK","Total Pekerja Perempuan Tidak lebih besar dari Jumlah Penduduk Perempuan di Desa","")</f>
        <v/>
      </c>
      <c r="L484" s="43"/>
      <c r="M484" s="21"/>
      <c r="N484" s="21"/>
      <c r="O484" s="21"/>
      <c r="P484" s="21"/>
      <c r="Q484" s="21"/>
      <c r="R484" s="21"/>
      <c r="S484" s="21"/>
      <c r="T484" s="21"/>
      <c r="U484" s="21"/>
      <c r="V484" s="21"/>
    </row>
    <row r="485" spans="1:22" s="2" customFormat="1" ht="30" customHeight="1" x14ac:dyDescent="0.25">
      <c r="A485" s="538">
        <f>A483+1</f>
        <v>109</v>
      </c>
      <c r="B485" s="366" t="s">
        <v>41</v>
      </c>
      <c r="C485" s="340" t="s">
        <v>1896</v>
      </c>
      <c r="D485" s="100">
        <f t="shared" si="28"/>
        <v>918</v>
      </c>
      <c r="E485" s="427" t="s">
        <v>42</v>
      </c>
      <c r="F485" s="718">
        <v>0</v>
      </c>
      <c r="G485" s="924"/>
      <c r="H485" s="933" t="s">
        <v>660</v>
      </c>
      <c r="I485" s="923"/>
      <c r="J485" s="198" t="str">
        <f>IF(F485="","Belum Terisi",IF(SUM($F$471,$F$473,$F$475,$F$477,$F$479,$F$481,$F$483,$F$485,$F$487,$F$489,$F$492,$F$494)&gt;'INPUTAN DESA ....'!$F$119,"CEK",""))</f>
        <v/>
      </c>
      <c r="K485" s="31" t="str">
        <f>IF(J485="CEK","Total Pekerja Laki-laki Tidak lebih besar dari Jumlah Penduduk Laki-Laki di Desa","")</f>
        <v/>
      </c>
      <c r="L485" s="43"/>
      <c r="M485" s="21"/>
      <c r="N485" s="21"/>
      <c r="O485" s="21"/>
      <c r="P485" s="21"/>
      <c r="Q485" s="21"/>
      <c r="R485" s="21"/>
      <c r="S485" s="21"/>
      <c r="T485" s="21"/>
      <c r="U485" s="21"/>
      <c r="V485" s="21"/>
    </row>
    <row r="486" spans="1:22" s="2" customFormat="1" ht="30" customHeight="1" x14ac:dyDescent="0.25">
      <c r="A486" s="651"/>
      <c r="B486" s="367" t="s">
        <v>139</v>
      </c>
      <c r="C486" s="345" t="s">
        <v>2490</v>
      </c>
      <c r="D486" s="100">
        <f t="shared" si="28"/>
        <v>919</v>
      </c>
      <c r="E486" s="427" t="s">
        <v>42</v>
      </c>
      <c r="F486" s="717">
        <v>0</v>
      </c>
      <c r="G486" s="924"/>
      <c r="H486" s="933" t="s">
        <v>660</v>
      </c>
      <c r="I486" s="923"/>
      <c r="J486" s="198" t="str">
        <f>IF(F486="","Belum Terisi",IF(SUM($F$472,$F$474,$F$476,$F$478,$F$480,$F$482,$F$484,$F$486,$F$488,$F$490,$F$491,$F$493,$F$495)&gt;'INPUTAN DESA ....'!$F$120,"CEK",""))</f>
        <v/>
      </c>
      <c r="K486" s="31" t="str">
        <f>IF(J486="CEK","Total Pekerja Perempuan Tidak lebih besar dari Jumlah Penduduk Perempuan di Desa","")</f>
        <v/>
      </c>
      <c r="L486" s="43"/>
      <c r="M486" s="21"/>
      <c r="N486" s="21"/>
      <c r="O486" s="21"/>
      <c r="P486" s="21"/>
      <c r="Q486" s="21"/>
      <c r="R486" s="21"/>
      <c r="S486" s="21"/>
      <c r="T486" s="21"/>
      <c r="U486" s="21"/>
      <c r="V486" s="21"/>
    </row>
    <row r="487" spans="1:22" s="2" customFormat="1" ht="30" customHeight="1" x14ac:dyDescent="0.25">
      <c r="A487" s="538">
        <f>A485+1</f>
        <v>110</v>
      </c>
      <c r="B487" s="366" t="s">
        <v>41</v>
      </c>
      <c r="C487" s="340" t="s">
        <v>1897</v>
      </c>
      <c r="D487" s="100">
        <f t="shared" si="28"/>
        <v>920</v>
      </c>
      <c r="E487" s="427" t="s">
        <v>42</v>
      </c>
      <c r="F487" s="718">
        <v>0</v>
      </c>
      <c r="G487" s="924"/>
      <c r="H487" s="933" t="s">
        <v>660</v>
      </c>
      <c r="I487" s="923"/>
      <c r="J487" s="198" t="str">
        <f>IF(F487="","Belum Terisi",IF(SUM($F$471,$F$473,$F$475,$F$477,$F$479,$F$481,$F$483,$F$485,$F$487,$F$489,$F$492,$F$494)&gt;'INPUTAN DESA ....'!$F$119,"CEK",""))</f>
        <v/>
      </c>
      <c r="K487" s="31" t="str">
        <f>IF(J487="CEK","Total Pekerja Laki-laki Tidak lebih besar dari Jumlah Penduduk Laki-Laki di Desa","")</f>
        <v/>
      </c>
      <c r="L487" s="31"/>
      <c r="M487" s="21"/>
      <c r="N487" s="21"/>
      <c r="O487" s="21"/>
      <c r="P487" s="21"/>
      <c r="Q487" s="21"/>
      <c r="R487" s="21"/>
      <c r="S487" s="21"/>
      <c r="T487" s="21"/>
      <c r="U487" s="21"/>
      <c r="V487" s="21"/>
    </row>
    <row r="488" spans="1:22" s="2" customFormat="1" ht="30" customHeight="1" x14ac:dyDescent="0.25">
      <c r="A488" s="651"/>
      <c r="B488" s="367" t="s">
        <v>139</v>
      </c>
      <c r="C488" s="345" t="s">
        <v>2491</v>
      </c>
      <c r="D488" s="100">
        <f t="shared" si="28"/>
        <v>921</v>
      </c>
      <c r="E488" s="427" t="s">
        <v>42</v>
      </c>
      <c r="F488" s="717">
        <v>0</v>
      </c>
      <c r="G488" s="924"/>
      <c r="H488" s="933" t="s">
        <v>660</v>
      </c>
      <c r="I488" s="923"/>
      <c r="J488" s="198" t="str">
        <f>IF(F488="","Belum Terisi",IF(SUM($F$472,$F$474,$F$476,$F$478,$F$480,$F$482,$F$484,$F$486,$F$488,$F$490,$F$491,$F$493,$F$495)&gt;'INPUTAN DESA ....'!$F$120,"CEK",""))</f>
        <v/>
      </c>
      <c r="K488" s="31" t="str">
        <f>IF(J488="CEK","Total Pekerja Perempuan Tidak lebih besar dari Jumlah Penduduk Perempuan di Desa","")</f>
        <v/>
      </c>
      <c r="L488" s="43"/>
      <c r="M488" s="21"/>
      <c r="N488" s="21"/>
      <c r="O488" s="21"/>
      <c r="P488" s="21"/>
      <c r="Q488" s="21"/>
      <c r="R488" s="21"/>
      <c r="S488" s="21"/>
      <c r="T488" s="21"/>
      <c r="U488" s="21"/>
      <c r="V488" s="21"/>
    </row>
    <row r="489" spans="1:22" s="2" customFormat="1" ht="30" customHeight="1" x14ac:dyDescent="0.25">
      <c r="A489" s="538">
        <f>A487+1</f>
        <v>111</v>
      </c>
      <c r="B489" s="366" t="s">
        <v>41</v>
      </c>
      <c r="C489" s="340" t="s">
        <v>1898</v>
      </c>
      <c r="D489" s="100">
        <f t="shared" si="28"/>
        <v>922</v>
      </c>
      <c r="E489" s="427" t="s">
        <v>42</v>
      </c>
      <c r="F489" s="718">
        <v>0</v>
      </c>
      <c r="G489" s="924"/>
      <c r="H489" s="933" t="s">
        <v>660</v>
      </c>
      <c r="I489" s="923"/>
      <c r="J489" s="198" t="str">
        <f>IF(F489="","Belum Terisi",IF(SUM($F$471,$F$473,$F$475,$F$477,$F$479,$F$481,$F$483,$F$485,$F$487,$F$489,$F$492,$F$494)&gt;'INPUTAN DESA ....'!$F$119,"CEK",""))</f>
        <v/>
      </c>
      <c r="K489" s="31" t="str">
        <f>IF(J489="CEK","Total Pekerja Laki-laki Tidak lebih besar dari Jumlah Penduduk Laki-Laki di Desa","")</f>
        <v/>
      </c>
      <c r="L489" s="43"/>
      <c r="M489" s="21"/>
      <c r="N489" s="21"/>
      <c r="O489" s="21"/>
      <c r="P489" s="21"/>
      <c r="Q489" s="21"/>
      <c r="R489" s="21"/>
      <c r="S489" s="21"/>
      <c r="T489" s="21"/>
      <c r="U489" s="21"/>
      <c r="V489" s="21"/>
    </row>
    <row r="490" spans="1:22" s="2" customFormat="1" ht="30" customHeight="1" x14ac:dyDescent="0.25">
      <c r="A490" s="651"/>
      <c r="B490" s="367" t="s">
        <v>139</v>
      </c>
      <c r="C490" s="345" t="s">
        <v>2492</v>
      </c>
      <c r="D490" s="100">
        <f t="shared" si="28"/>
        <v>923</v>
      </c>
      <c r="E490" s="427" t="s">
        <v>42</v>
      </c>
      <c r="F490" s="717">
        <v>0</v>
      </c>
      <c r="G490" s="924"/>
      <c r="H490" s="933" t="s">
        <v>660</v>
      </c>
      <c r="I490" s="923"/>
      <c r="J490" s="198" t="str">
        <f>IF(F490="","Belum Terisi",IF(SUM($F$472,$F$474,$F$476,$F$478,$F$480,$F$482,$F$484,$F$486,$F$488,$F$490,$F$491,$F$493,$F$495)&gt;'INPUTAN DESA ....'!$F$120,"CEK",""))</f>
        <v/>
      </c>
      <c r="K490" s="31" t="str">
        <f>IF(J490="CEK","Total Pekerja Perempuan Tidak lebih besar dari Jumlah Penduduk Perempuan di Desa","")</f>
        <v/>
      </c>
      <c r="L490" s="43"/>
      <c r="M490" s="21"/>
      <c r="N490" s="21"/>
      <c r="O490" s="21"/>
      <c r="P490" s="21"/>
      <c r="Q490" s="21"/>
      <c r="R490" s="21"/>
      <c r="S490" s="21"/>
      <c r="T490" s="21"/>
      <c r="U490" s="21"/>
      <c r="V490" s="21"/>
    </row>
    <row r="491" spans="1:22" s="2" customFormat="1" ht="30" customHeight="1" x14ac:dyDescent="0.25">
      <c r="A491" s="538">
        <f>A489+1</f>
        <v>112</v>
      </c>
      <c r="B491" s="216"/>
      <c r="C491" s="340" t="s">
        <v>1899</v>
      </c>
      <c r="D491" s="100">
        <f t="shared" si="28"/>
        <v>924</v>
      </c>
      <c r="E491" s="427" t="s">
        <v>42</v>
      </c>
      <c r="F491" s="730">
        <v>2</v>
      </c>
      <c r="G491" s="924"/>
      <c r="H491" s="933" t="s">
        <v>660</v>
      </c>
      <c r="I491" s="923"/>
      <c r="J491" s="198" t="str">
        <f>IF(F491="","Belum Terisi",IF(SUM($F$472,$F$474,$F$476,$F$478,$F$480,$F$482,$F$484,$F$486,$F$488,$F$490,$F$491,$F$493,$F$495)&gt;'INPUTAN DESA ....'!$F$120,"CEK",""))</f>
        <v/>
      </c>
      <c r="K491" s="31" t="str">
        <f>IF(J491="CEK","Total Pekerja Perempuan Tidak lebih besar dari Jumlah Penduduk Perempuan di Desa","")</f>
        <v/>
      </c>
      <c r="L491" s="31"/>
      <c r="M491" s="21"/>
      <c r="N491" s="21"/>
      <c r="O491" s="21"/>
      <c r="P491" s="21"/>
      <c r="Q491" s="21"/>
      <c r="R491" s="21"/>
      <c r="S491" s="21"/>
      <c r="T491" s="21"/>
      <c r="U491" s="21"/>
      <c r="V491" s="21"/>
    </row>
    <row r="492" spans="1:22" s="2" customFormat="1" ht="30" customHeight="1" x14ac:dyDescent="0.25">
      <c r="A492" s="538">
        <f>A491+1</f>
        <v>113</v>
      </c>
      <c r="B492" s="366" t="s">
        <v>41</v>
      </c>
      <c r="C492" s="340" t="s">
        <v>1900</v>
      </c>
      <c r="D492" s="100">
        <f t="shared" si="28"/>
        <v>925</v>
      </c>
      <c r="E492" s="427" t="s">
        <v>42</v>
      </c>
      <c r="F492" s="718">
        <v>0</v>
      </c>
      <c r="G492" s="924"/>
      <c r="H492" s="933" t="s">
        <v>660</v>
      </c>
      <c r="I492" s="923"/>
      <c r="J492" s="198" t="str">
        <f>IF(F492="","Belum Terisi",IF(SUM($F$471,$F$473,$F$475,$F$477,$F$479,$F$481,$F$483,$F$485,$F$487,$F$489,$F$492,$F$494)&gt;'INPUTAN DESA ....'!$F$119,"CEK",""))</f>
        <v/>
      </c>
      <c r="K492" s="31" t="str">
        <f>IF(J492="CEK","Total Pekerja Laki-laki Tidak lebih besar dari Jumlah Penduduk Laki-Laki di Desa","")</f>
        <v/>
      </c>
      <c r="L492" s="43"/>
      <c r="M492" s="21"/>
      <c r="N492" s="21"/>
      <c r="O492" s="21"/>
      <c r="P492" s="21"/>
      <c r="Q492" s="21"/>
      <c r="R492" s="21"/>
      <c r="S492" s="21"/>
      <c r="T492" s="21"/>
      <c r="U492" s="21"/>
      <c r="V492" s="21"/>
    </row>
    <row r="493" spans="1:22" s="2" customFormat="1" ht="30" customHeight="1" x14ac:dyDescent="0.25">
      <c r="A493" s="651"/>
      <c r="B493" s="367" t="s">
        <v>139</v>
      </c>
      <c r="C493" s="345" t="s">
        <v>2493</v>
      </c>
      <c r="D493" s="100">
        <f t="shared" si="28"/>
        <v>926</v>
      </c>
      <c r="E493" s="427" t="s">
        <v>42</v>
      </c>
      <c r="F493" s="717">
        <v>1</v>
      </c>
      <c r="G493" s="924"/>
      <c r="H493" s="933" t="s">
        <v>660</v>
      </c>
      <c r="I493" s="923"/>
      <c r="J493" s="198" t="str">
        <f>IF(F493="","Belum Terisi",IF(SUM($F$472,$F$474,$F$476,$F$478,$F$480,$F$482,$F$484,$F$486,$F$488,$F$490,$F$491,$F$493,$F$495)&gt;'INPUTAN DESA ....'!$F$120,"CEK",""))</f>
        <v/>
      </c>
      <c r="K493" s="31" t="str">
        <f>IF(J493="CEK","Total Pekerja Perempuan Tidak lebih besar dari Jumlah Penduduk Perempuan di Desa","")</f>
        <v/>
      </c>
      <c r="L493" s="43"/>
      <c r="M493" s="21"/>
      <c r="N493" s="21"/>
      <c r="O493" s="21"/>
      <c r="P493" s="21"/>
      <c r="Q493" s="21"/>
      <c r="R493" s="21"/>
      <c r="S493" s="21"/>
      <c r="T493" s="21"/>
      <c r="U493" s="21"/>
      <c r="V493" s="21"/>
    </row>
    <row r="494" spans="1:22" s="2" customFormat="1" ht="30" customHeight="1" x14ac:dyDescent="0.25">
      <c r="A494" s="538">
        <f>A492+1</f>
        <v>114</v>
      </c>
      <c r="B494" s="366" t="s">
        <v>41</v>
      </c>
      <c r="C494" s="369" t="s">
        <v>1901</v>
      </c>
      <c r="D494" s="100">
        <f t="shared" si="28"/>
        <v>927</v>
      </c>
      <c r="E494" s="427" t="s">
        <v>42</v>
      </c>
      <c r="F494" s="718">
        <v>11</v>
      </c>
      <c r="G494" s="924"/>
      <c r="H494" s="933" t="s">
        <v>660</v>
      </c>
      <c r="I494" s="923"/>
      <c r="J494" s="198" t="str">
        <f>IF(F494="","Belum Terisi",IF(SUM($F$471,$F$473,$F$475,$F$477,$F$479,$F$481,$F$483,$F$485,$F$487,$F$489,$F$492,$F$494)&gt;'INPUTAN DESA ....'!$F$119,"CEK",""))</f>
        <v/>
      </c>
      <c r="K494" s="31" t="str">
        <f>IF(J494="CEK","Total Pekerja Laki-laki Tidak lebih besar dari Jumlah Penduduk Laki-Laki di Desa","")</f>
        <v/>
      </c>
      <c r="L494" s="43"/>
      <c r="M494" s="21"/>
      <c r="N494" s="21"/>
      <c r="O494" s="21"/>
      <c r="P494" s="21"/>
      <c r="Q494" s="21"/>
      <c r="R494" s="21"/>
      <c r="S494" s="21"/>
      <c r="T494" s="21"/>
      <c r="U494" s="21"/>
      <c r="V494" s="21"/>
    </row>
    <row r="495" spans="1:22" s="2" customFormat="1" ht="30" customHeight="1" x14ac:dyDescent="0.25">
      <c r="A495" s="651"/>
      <c r="B495" s="367" t="s">
        <v>139</v>
      </c>
      <c r="C495" s="370" t="s">
        <v>2494</v>
      </c>
      <c r="D495" s="100">
        <f t="shared" si="28"/>
        <v>928</v>
      </c>
      <c r="E495" s="427" t="s">
        <v>42</v>
      </c>
      <c r="F495" s="717">
        <v>13</v>
      </c>
      <c r="G495" s="924"/>
      <c r="H495" s="933" t="s">
        <v>660</v>
      </c>
      <c r="I495" s="923"/>
      <c r="J495" s="198" t="str">
        <f>IF(F495="","Belum Terisi",IF(SUM($F$472,$F$474,$F$476,$F$478,$F$480,$F$482,$F$484,$F$486,$F$488,$F$490,$F$491,$F$493,$F$495)&gt;'INPUTAN DESA ....'!$F$120,"CEK",""))</f>
        <v/>
      </c>
      <c r="K495" s="31" t="str">
        <f>IF(J495="CEK","Total Pekerja Perempuan Tidak lebih besar dari Jumlah Penduduk Perempuan di Desa","")</f>
        <v/>
      </c>
      <c r="L495" s="31"/>
      <c r="M495" s="21"/>
      <c r="N495" s="21"/>
      <c r="O495" s="21"/>
      <c r="P495" s="21"/>
      <c r="Q495" s="21"/>
      <c r="R495" s="21"/>
      <c r="S495" s="21"/>
      <c r="T495" s="21"/>
      <c r="U495" s="21"/>
      <c r="V495" s="21"/>
    </row>
    <row r="496" spans="1:22" s="2" customFormat="1" ht="30" customHeight="1" x14ac:dyDescent="0.25">
      <c r="A496" s="538">
        <f>A494+1</f>
        <v>115</v>
      </c>
      <c r="B496" s="366" t="s">
        <v>41</v>
      </c>
      <c r="C496" s="340" t="s">
        <v>1902</v>
      </c>
      <c r="D496" s="100">
        <f t="shared" si="28"/>
        <v>929</v>
      </c>
      <c r="E496" s="28" t="s">
        <v>261</v>
      </c>
      <c r="F496" s="779">
        <f>F755+F757+F759+F761+F763</f>
        <v>0</v>
      </c>
      <c r="G496" s="928"/>
      <c r="H496" s="922"/>
      <c r="I496" s="923"/>
      <c r="J496" s="200" t="str">
        <f>IF(LEN(F496)&gt;0,"","Belum Terisi")</f>
        <v/>
      </c>
      <c r="K496" s="31"/>
      <c r="L496" s="43"/>
      <c r="M496" s="21"/>
      <c r="N496" s="21"/>
      <c r="O496" s="21"/>
      <c r="P496" s="21"/>
      <c r="Q496" s="21"/>
      <c r="R496" s="21"/>
      <c r="S496" s="21"/>
      <c r="T496" s="21"/>
      <c r="U496" s="21"/>
      <c r="V496" s="21"/>
    </row>
    <row r="497" spans="1:22" s="2" customFormat="1" ht="30" customHeight="1" x14ac:dyDescent="0.25">
      <c r="A497" s="651"/>
      <c r="B497" s="367" t="s">
        <v>139</v>
      </c>
      <c r="C497" s="345" t="s">
        <v>2495</v>
      </c>
      <c r="D497" s="506">
        <f t="shared" si="28"/>
        <v>930</v>
      </c>
      <c r="E497" s="28" t="s">
        <v>261</v>
      </c>
      <c r="F497" s="779">
        <f>F756+F758+F760+F762+F764</f>
        <v>1</v>
      </c>
      <c r="G497" s="928"/>
      <c r="H497" s="922"/>
      <c r="I497" s="923"/>
      <c r="J497" s="200" t="str">
        <f>IF(LEN(F497)&gt;0,"","Belum Terisi")</f>
        <v/>
      </c>
      <c r="K497" s="31"/>
      <c r="L497" s="43"/>
      <c r="M497" s="21"/>
      <c r="N497" s="21"/>
      <c r="O497" s="21"/>
      <c r="P497" s="21"/>
      <c r="Q497" s="21"/>
      <c r="R497" s="21"/>
      <c r="S497" s="21"/>
      <c r="T497" s="21"/>
      <c r="U497" s="21"/>
      <c r="V497" s="21"/>
    </row>
    <row r="498" spans="1:22" s="2" customFormat="1" ht="30" customHeight="1" x14ac:dyDescent="0.25">
      <c r="A498" s="652" t="s">
        <v>2052</v>
      </c>
      <c r="B498" s="371"/>
      <c r="C498" s="372"/>
      <c r="D498" s="507"/>
      <c r="E498" s="429"/>
      <c r="F498" s="714"/>
      <c r="G498" s="924"/>
      <c r="H498" s="922"/>
      <c r="I498" s="923"/>
      <c r="J498" s="98"/>
      <c r="K498" s="31"/>
      <c r="L498" s="43"/>
      <c r="M498" s="21"/>
      <c r="N498" s="21"/>
      <c r="O498" s="21"/>
      <c r="P498" s="21"/>
      <c r="Q498" s="21"/>
      <c r="R498" s="21"/>
      <c r="S498" s="21"/>
      <c r="T498" s="21"/>
      <c r="U498" s="21"/>
      <c r="V498" s="21"/>
    </row>
    <row r="499" spans="1:22" s="2" customFormat="1" ht="30" customHeight="1" x14ac:dyDescent="0.25">
      <c r="A499" s="653">
        <f>A496+1</f>
        <v>116</v>
      </c>
      <c r="B499" s="254" t="s">
        <v>41</v>
      </c>
      <c r="C499" s="373" t="s">
        <v>1932</v>
      </c>
      <c r="D499" s="508">
        <f>D497+1</f>
        <v>931</v>
      </c>
      <c r="E499" s="684" t="s">
        <v>33</v>
      </c>
      <c r="F499" s="718">
        <v>22</v>
      </c>
      <c r="G499" s="924"/>
      <c r="H499" s="928" t="s">
        <v>2784</v>
      </c>
      <c r="I499" s="923"/>
      <c r="J499" s="198" t="str">
        <f t="shared" ref="J499:J511" si="29">IF(LEN(F499)&gt;0,"","Belum Terisi")</f>
        <v/>
      </c>
      <c r="K499" s="31"/>
      <c r="L499" s="31"/>
      <c r="M499" s="21"/>
      <c r="N499" s="21" t="s">
        <v>668</v>
      </c>
      <c r="O499" s="21"/>
      <c r="P499" s="21"/>
      <c r="Q499" s="21"/>
      <c r="R499" s="21"/>
      <c r="S499" s="21"/>
      <c r="T499" s="21"/>
      <c r="U499" s="21"/>
      <c r="V499" s="21"/>
    </row>
    <row r="500" spans="1:22" s="2" customFormat="1" ht="30" customHeight="1" x14ac:dyDescent="0.25">
      <c r="A500" s="572"/>
      <c r="B500" s="254" t="s">
        <v>139</v>
      </c>
      <c r="C500" s="373" t="s">
        <v>1933</v>
      </c>
      <c r="D500" s="100">
        <f>D499+1</f>
        <v>932</v>
      </c>
      <c r="E500" s="684" t="s">
        <v>64</v>
      </c>
      <c r="F500" s="818">
        <v>10</v>
      </c>
      <c r="G500" s="924"/>
      <c r="H500" s="922"/>
      <c r="I500" s="923"/>
      <c r="J500" s="198" t="str">
        <f t="shared" si="29"/>
        <v/>
      </c>
      <c r="K500" s="31"/>
      <c r="L500" s="43"/>
      <c r="M500" s="21"/>
      <c r="N500" s="21"/>
      <c r="O500" s="21"/>
      <c r="P500" s="21"/>
      <c r="Q500" s="21"/>
      <c r="R500" s="21"/>
      <c r="S500" s="21"/>
      <c r="T500" s="21"/>
      <c r="U500" s="21"/>
      <c r="V500" s="21"/>
    </row>
    <row r="501" spans="1:22" s="2" customFormat="1" ht="30" customHeight="1" x14ac:dyDescent="0.25">
      <c r="A501" s="572"/>
      <c r="B501" s="254" t="s">
        <v>251</v>
      </c>
      <c r="C501" s="373" t="s">
        <v>2010</v>
      </c>
      <c r="D501" s="100">
        <f t="shared" ref="D501:D511" si="30">D500+1</f>
        <v>933</v>
      </c>
      <c r="E501" s="684" t="s">
        <v>96</v>
      </c>
      <c r="F501" s="773">
        <v>6</v>
      </c>
      <c r="G501" s="924"/>
      <c r="H501" s="922" t="s">
        <v>2783</v>
      </c>
      <c r="I501" s="923"/>
      <c r="J501" s="198" t="str">
        <f t="shared" si="29"/>
        <v/>
      </c>
      <c r="K501" s="31"/>
      <c r="L501" s="31"/>
      <c r="M501" s="21"/>
      <c r="N501" s="847" t="s">
        <v>668</v>
      </c>
      <c r="O501" s="21"/>
      <c r="P501" s="21"/>
      <c r="Q501" s="21"/>
      <c r="R501" s="21"/>
      <c r="S501" s="21"/>
      <c r="T501" s="21"/>
      <c r="U501" s="21"/>
      <c r="V501" s="21"/>
    </row>
    <row r="502" spans="1:22" s="2" customFormat="1" ht="40.15" customHeight="1" x14ac:dyDescent="0.25">
      <c r="A502" s="573"/>
      <c r="B502" s="254" t="s">
        <v>255</v>
      </c>
      <c r="C502" s="373" t="s">
        <v>2454</v>
      </c>
      <c r="D502" s="100">
        <f t="shared" si="30"/>
        <v>934</v>
      </c>
      <c r="E502" s="509" t="s">
        <v>171</v>
      </c>
      <c r="F502" s="774" t="s">
        <v>285</v>
      </c>
      <c r="G502" s="927"/>
      <c r="H502" s="928"/>
      <c r="I502" s="923"/>
      <c r="J502" s="198" t="str">
        <f t="shared" si="29"/>
        <v/>
      </c>
      <c r="K502" s="31"/>
      <c r="L502" s="43"/>
      <c r="M502" s="21"/>
      <c r="N502" s="21"/>
      <c r="O502" s="21"/>
      <c r="P502" s="21"/>
      <c r="Q502" s="21"/>
      <c r="R502" s="21"/>
      <c r="S502" s="21"/>
      <c r="T502" s="21"/>
      <c r="U502" s="21"/>
      <c r="V502" s="21" t="s">
        <v>636</v>
      </c>
    </row>
    <row r="503" spans="1:22" s="2" customFormat="1" ht="30" customHeight="1" x14ac:dyDescent="0.25">
      <c r="A503" s="653">
        <f>A499+1</f>
        <v>117</v>
      </c>
      <c r="B503" s="254" t="s">
        <v>41</v>
      </c>
      <c r="C503" s="373" t="s">
        <v>1934</v>
      </c>
      <c r="D503" s="100">
        <f t="shared" si="30"/>
        <v>935</v>
      </c>
      <c r="E503" s="685" t="s">
        <v>33</v>
      </c>
      <c r="F503" s="718">
        <v>15</v>
      </c>
      <c r="G503" s="924"/>
      <c r="H503" s="928" t="s">
        <v>2784</v>
      </c>
      <c r="I503" s="923"/>
      <c r="J503" s="198" t="str">
        <f t="shared" si="29"/>
        <v/>
      </c>
      <c r="K503" s="31"/>
      <c r="L503" s="43"/>
      <c r="M503" s="21"/>
      <c r="N503" s="21" t="s">
        <v>668</v>
      </c>
      <c r="O503" s="21"/>
      <c r="P503" s="21"/>
      <c r="Q503" s="21"/>
      <c r="R503" s="21"/>
      <c r="S503" s="21"/>
      <c r="T503" s="21"/>
      <c r="U503" s="21"/>
      <c r="V503" s="21"/>
    </row>
    <row r="504" spans="1:22" s="2" customFormat="1" ht="30" customHeight="1" x14ac:dyDescent="0.25">
      <c r="A504" s="572"/>
      <c r="B504" s="254" t="s">
        <v>139</v>
      </c>
      <c r="C504" s="373" t="s">
        <v>1935</v>
      </c>
      <c r="D504" s="100">
        <f t="shared" si="30"/>
        <v>936</v>
      </c>
      <c r="E504" s="523" t="s">
        <v>64</v>
      </c>
      <c r="F504" s="819">
        <v>15</v>
      </c>
      <c r="G504" s="924"/>
      <c r="H504" s="957" t="s">
        <v>820</v>
      </c>
      <c r="I504" s="923"/>
      <c r="J504" s="198" t="str">
        <f t="shared" si="29"/>
        <v/>
      </c>
      <c r="K504" s="31"/>
      <c r="L504" s="43"/>
      <c r="M504" s="21"/>
      <c r="N504" s="21"/>
      <c r="O504" s="21"/>
      <c r="P504" s="21"/>
      <c r="Q504" s="21"/>
      <c r="R504" s="21"/>
      <c r="S504" s="21"/>
      <c r="T504" s="21"/>
      <c r="U504" s="21"/>
      <c r="V504" s="21" t="s">
        <v>636</v>
      </c>
    </row>
    <row r="505" spans="1:22" s="2" customFormat="1" ht="30" customHeight="1" x14ac:dyDescent="0.25">
      <c r="A505" s="572"/>
      <c r="B505" s="254" t="s">
        <v>251</v>
      </c>
      <c r="C505" s="373" t="s">
        <v>2011</v>
      </c>
      <c r="D505" s="100">
        <f t="shared" si="30"/>
        <v>937</v>
      </c>
      <c r="E505" s="685" t="s">
        <v>96</v>
      </c>
      <c r="F505" s="773">
        <v>3</v>
      </c>
      <c r="G505" s="924"/>
      <c r="H505" s="922" t="s">
        <v>153</v>
      </c>
      <c r="I505" s="923"/>
      <c r="J505" s="198" t="str">
        <f t="shared" si="29"/>
        <v/>
      </c>
      <c r="K505" s="31"/>
      <c r="L505" s="43"/>
      <c r="M505" s="21"/>
      <c r="N505" s="847" t="s">
        <v>668</v>
      </c>
      <c r="O505" s="21"/>
      <c r="P505" s="21"/>
      <c r="Q505" s="21"/>
      <c r="R505" s="21"/>
      <c r="S505" s="21"/>
      <c r="T505" s="21"/>
      <c r="U505" s="21"/>
      <c r="V505" s="21"/>
    </row>
    <row r="506" spans="1:22" s="2" customFormat="1" ht="30" customHeight="1" x14ac:dyDescent="0.25">
      <c r="A506" s="572"/>
      <c r="B506" s="254" t="s">
        <v>255</v>
      </c>
      <c r="C506" s="373" t="s">
        <v>1971</v>
      </c>
      <c r="D506" s="100">
        <f t="shared" si="30"/>
        <v>938</v>
      </c>
      <c r="E506" s="523" t="s">
        <v>33</v>
      </c>
      <c r="F506" s="819">
        <v>25</v>
      </c>
      <c r="G506" s="924"/>
      <c r="H506" s="922"/>
      <c r="I506" s="923"/>
      <c r="J506" s="198" t="str">
        <f t="shared" si="29"/>
        <v/>
      </c>
      <c r="K506" s="31"/>
      <c r="L506" s="31"/>
      <c r="M506" s="21"/>
      <c r="N506" s="21"/>
      <c r="O506" s="21"/>
      <c r="P506" s="21"/>
      <c r="Q506" s="847" t="s">
        <v>671</v>
      </c>
      <c r="R506" s="21"/>
      <c r="S506" s="21"/>
      <c r="T506" s="21"/>
      <c r="U506" s="21"/>
      <c r="V506" s="21"/>
    </row>
    <row r="507" spans="1:22" s="2" customFormat="1" ht="40.15" customHeight="1" x14ac:dyDescent="0.25">
      <c r="A507" s="573"/>
      <c r="B507" s="254" t="s">
        <v>252</v>
      </c>
      <c r="C507" s="373" t="s">
        <v>1972</v>
      </c>
      <c r="D507" s="100">
        <f t="shared" si="30"/>
        <v>939</v>
      </c>
      <c r="E507" s="523" t="s">
        <v>171</v>
      </c>
      <c r="F507" s="774" t="s">
        <v>285</v>
      </c>
      <c r="G507" s="927"/>
      <c r="H507" s="928"/>
      <c r="I507" s="923"/>
      <c r="J507" s="198" t="str">
        <f t="shared" si="29"/>
        <v/>
      </c>
      <c r="K507" s="31"/>
      <c r="L507" s="43"/>
      <c r="M507" s="21"/>
      <c r="N507" s="21"/>
      <c r="O507" s="21"/>
      <c r="P507" s="21"/>
      <c r="Q507" s="21"/>
      <c r="R507" s="21"/>
      <c r="S507" s="21"/>
      <c r="T507" s="21"/>
      <c r="U507" s="21"/>
      <c r="V507" s="21" t="s">
        <v>636</v>
      </c>
    </row>
    <row r="508" spans="1:22" s="2" customFormat="1" ht="30" customHeight="1" x14ac:dyDescent="0.25">
      <c r="A508" s="653">
        <f>A503+1</f>
        <v>118</v>
      </c>
      <c r="B508" s="254" t="s">
        <v>41</v>
      </c>
      <c r="C508" s="373" t="s">
        <v>1936</v>
      </c>
      <c r="D508" s="100">
        <f t="shared" si="30"/>
        <v>940</v>
      </c>
      <c r="E508" s="685" t="s">
        <v>33</v>
      </c>
      <c r="F508" s="718">
        <v>0</v>
      </c>
      <c r="G508" s="924"/>
      <c r="H508" s="928" t="s">
        <v>2784</v>
      </c>
      <c r="I508" s="923"/>
      <c r="J508" s="198" t="str">
        <f t="shared" si="29"/>
        <v/>
      </c>
      <c r="K508" s="31"/>
      <c r="L508" s="43"/>
      <c r="M508" s="21"/>
      <c r="N508" s="21" t="s">
        <v>668</v>
      </c>
      <c r="O508" s="21"/>
      <c r="P508" s="21"/>
      <c r="Q508" s="21"/>
      <c r="R508" s="21"/>
      <c r="S508" s="21"/>
      <c r="T508" s="21"/>
      <c r="U508" s="21"/>
      <c r="V508" s="21"/>
    </row>
    <row r="509" spans="1:22" s="2" customFormat="1" ht="30" customHeight="1" x14ac:dyDescent="0.25">
      <c r="A509" s="572"/>
      <c r="B509" s="254" t="s">
        <v>139</v>
      </c>
      <c r="C509" s="373" t="s">
        <v>2012</v>
      </c>
      <c r="D509" s="100">
        <f t="shared" si="30"/>
        <v>941</v>
      </c>
      <c r="E509" s="685" t="s">
        <v>96</v>
      </c>
      <c r="F509" s="775">
        <v>3</v>
      </c>
      <c r="G509" s="924"/>
      <c r="H509" s="922" t="s">
        <v>153</v>
      </c>
      <c r="I509" s="923"/>
      <c r="J509" s="198" t="str">
        <f t="shared" si="29"/>
        <v/>
      </c>
      <c r="K509" s="31"/>
      <c r="L509" s="43"/>
      <c r="M509" s="21"/>
      <c r="N509" s="847" t="s">
        <v>668</v>
      </c>
      <c r="O509" s="21"/>
      <c r="P509" s="21"/>
      <c r="Q509" s="21"/>
      <c r="R509" s="21"/>
      <c r="S509" s="21"/>
      <c r="T509" s="21"/>
      <c r="U509" s="21"/>
      <c r="V509" s="21"/>
    </row>
    <row r="510" spans="1:22" s="2" customFormat="1" ht="40.15" customHeight="1" x14ac:dyDescent="0.25">
      <c r="A510" s="573"/>
      <c r="B510" s="254" t="s">
        <v>251</v>
      </c>
      <c r="C510" s="373" t="s">
        <v>1973</v>
      </c>
      <c r="D510" s="100">
        <f t="shared" si="30"/>
        <v>942</v>
      </c>
      <c r="E510" s="523" t="s">
        <v>171</v>
      </c>
      <c r="F510" s="774" t="s">
        <v>263</v>
      </c>
      <c r="G510" s="927"/>
      <c r="H510" s="928"/>
      <c r="I510" s="923"/>
      <c r="J510" s="198" t="str">
        <f t="shared" si="29"/>
        <v/>
      </c>
      <c r="K510" s="31"/>
      <c r="L510" s="43"/>
      <c r="M510" s="21"/>
      <c r="N510" s="21"/>
      <c r="O510" s="21"/>
      <c r="P510" s="21"/>
      <c r="Q510" s="21"/>
      <c r="R510" s="21"/>
      <c r="S510" s="21"/>
      <c r="T510" s="21"/>
      <c r="U510" s="21"/>
      <c r="V510" s="21" t="s">
        <v>636</v>
      </c>
    </row>
    <row r="511" spans="1:22" s="2" customFormat="1" ht="30" customHeight="1" x14ac:dyDescent="0.25">
      <c r="A511" s="654">
        <f>A508+1</f>
        <v>119</v>
      </c>
      <c r="B511" s="374"/>
      <c r="C511" s="373" t="s">
        <v>238</v>
      </c>
      <c r="D511" s="100">
        <f t="shared" si="30"/>
        <v>943</v>
      </c>
      <c r="E511" s="29" t="s">
        <v>261</v>
      </c>
      <c r="F511" s="776">
        <f>F501+F505+F509</f>
        <v>12</v>
      </c>
      <c r="G511" s="921"/>
      <c r="H511" s="958">
        <f>'INPUTAN DESA ....'!F189+'INPUTAN DESA ....'!F200+'INPUTAN DESA ....'!F211</f>
        <v>315</v>
      </c>
      <c r="I511" s="923"/>
      <c r="J511" s="198" t="str">
        <f t="shared" si="29"/>
        <v/>
      </c>
      <c r="K511" s="31"/>
      <c r="L511" s="43"/>
      <c r="M511" s="21"/>
      <c r="N511" s="21"/>
      <c r="O511" s="21"/>
      <c r="P511" s="21"/>
      <c r="Q511" s="21"/>
      <c r="R511" s="21"/>
      <c r="S511" s="21"/>
      <c r="T511" s="21"/>
      <c r="U511" s="21"/>
      <c r="V511" s="21"/>
    </row>
    <row r="512" spans="1:22" s="2" customFormat="1" ht="30" customHeight="1" x14ac:dyDescent="0.25">
      <c r="A512" s="582" t="s">
        <v>152</v>
      </c>
      <c r="B512" s="374"/>
      <c r="C512" s="374"/>
      <c r="D512" s="510"/>
      <c r="E512" s="440"/>
      <c r="F512" s="736"/>
      <c r="G512" s="921"/>
      <c r="H512" s="958">
        <f>F500+F504+10</f>
        <v>35</v>
      </c>
      <c r="I512" s="923"/>
      <c r="J512" s="98"/>
      <c r="K512" s="31"/>
      <c r="L512" s="43"/>
      <c r="M512" s="21"/>
      <c r="N512" s="21"/>
      <c r="O512" s="21"/>
      <c r="P512" s="21"/>
      <c r="Q512" s="21"/>
      <c r="R512" s="21"/>
      <c r="S512" s="21"/>
      <c r="T512" s="21"/>
      <c r="U512" s="21"/>
      <c r="V512" s="21"/>
    </row>
    <row r="513" spans="1:22" s="2" customFormat="1" ht="30" customHeight="1" x14ac:dyDescent="0.25">
      <c r="A513" s="653">
        <f>A511+1</f>
        <v>120</v>
      </c>
      <c r="B513" s="375" t="s">
        <v>41</v>
      </c>
      <c r="C513" s="373" t="s">
        <v>2042</v>
      </c>
      <c r="D513" s="100">
        <f>D511+1</f>
        <v>944</v>
      </c>
      <c r="E513" s="427" t="s">
        <v>33</v>
      </c>
      <c r="F513" s="718">
        <v>0</v>
      </c>
      <c r="G513" s="924"/>
      <c r="H513" s="928" t="s">
        <v>2785</v>
      </c>
      <c r="I513" s="923"/>
      <c r="J513" s="198" t="str">
        <f>IF(F513="","Belum Terisi",IF(SUM($F$513:$F$522)&gt;SUM('INPUTAN DESA ....'!$F$126:$F$130),"CEK",""))</f>
        <v/>
      </c>
      <c r="K513" s="31" t="str">
        <f t="shared" ref="K513:K522" si="31">IF(J513="CEK","Tidak Lebih dari Jumlah Usia &lt;=19 Tahun di Desa","")</f>
        <v/>
      </c>
      <c r="L513" s="31"/>
      <c r="M513" s="21"/>
      <c r="N513" s="21" t="s">
        <v>668</v>
      </c>
      <c r="O513" s="21"/>
      <c r="P513" s="21"/>
      <c r="Q513" s="21"/>
      <c r="R513" s="21"/>
      <c r="S513" s="21"/>
      <c r="T513" s="21"/>
      <c r="U513" s="21"/>
      <c r="V513" s="21"/>
    </row>
    <row r="514" spans="1:22" s="2" customFormat="1" ht="30" customHeight="1" x14ac:dyDescent="0.25">
      <c r="A514" s="573"/>
      <c r="B514" s="376" t="s">
        <v>139</v>
      </c>
      <c r="C514" s="373" t="s">
        <v>2043</v>
      </c>
      <c r="D514" s="100">
        <f t="shared" ref="D514:D522" si="32">D513+1</f>
        <v>945</v>
      </c>
      <c r="E514" s="427" t="s">
        <v>33</v>
      </c>
      <c r="F514" s="717">
        <v>0</v>
      </c>
      <c r="G514" s="924"/>
      <c r="H514" s="928" t="s">
        <v>148</v>
      </c>
      <c r="I514" s="923"/>
      <c r="J514" s="198" t="str">
        <f>IF(F514="","Belum Terisi",IF(SUM($F$513:$F$522)&gt;SUM('INPUTAN DESA ....'!$F$126:$F$130),"CEK",""))</f>
        <v/>
      </c>
      <c r="K514" s="31" t="str">
        <f t="shared" si="31"/>
        <v/>
      </c>
      <c r="L514" s="43"/>
      <c r="M514" s="21"/>
      <c r="N514" s="21" t="s">
        <v>668</v>
      </c>
      <c r="O514" s="21"/>
      <c r="P514" s="21"/>
      <c r="Q514" s="21"/>
      <c r="R514" s="21"/>
      <c r="S514" s="21"/>
      <c r="T514" s="21"/>
      <c r="U514" s="21"/>
      <c r="V514" s="21"/>
    </row>
    <row r="515" spans="1:22" s="2" customFormat="1" ht="30" customHeight="1" x14ac:dyDescent="0.25">
      <c r="A515" s="653">
        <f>A513+1</f>
        <v>121</v>
      </c>
      <c r="B515" s="375" t="s">
        <v>41</v>
      </c>
      <c r="C515" s="373" t="s">
        <v>2044</v>
      </c>
      <c r="D515" s="100">
        <f t="shared" si="32"/>
        <v>946</v>
      </c>
      <c r="E515" s="427" t="s">
        <v>33</v>
      </c>
      <c r="F515" s="718">
        <v>0</v>
      </c>
      <c r="G515" s="924"/>
      <c r="H515" s="928" t="s">
        <v>2785</v>
      </c>
      <c r="I515" s="923"/>
      <c r="J515" s="198" t="str">
        <f>IF(F515="","Belum Terisi",IF(SUM($F$513:$F$522)&gt;SUM('INPUTAN DESA ....'!$F$126:$F$130),"CEK",""))</f>
        <v/>
      </c>
      <c r="K515" s="31" t="str">
        <f t="shared" si="31"/>
        <v/>
      </c>
      <c r="L515" s="43"/>
      <c r="M515" s="21"/>
      <c r="N515" s="21" t="s">
        <v>668</v>
      </c>
      <c r="O515" s="21"/>
      <c r="P515" s="21"/>
      <c r="Q515" s="21"/>
      <c r="R515" s="21"/>
      <c r="S515" s="21"/>
      <c r="T515" s="21"/>
      <c r="U515" s="21"/>
      <c r="V515" s="21"/>
    </row>
    <row r="516" spans="1:22" s="2" customFormat="1" ht="30" customHeight="1" x14ac:dyDescent="0.25">
      <c r="A516" s="573"/>
      <c r="B516" s="376" t="s">
        <v>139</v>
      </c>
      <c r="C516" s="373" t="s">
        <v>2045</v>
      </c>
      <c r="D516" s="100">
        <f t="shared" si="32"/>
        <v>947</v>
      </c>
      <c r="E516" s="427" t="s">
        <v>33</v>
      </c>
      <c r="F516" s="717">
        <v>0</v>
      </c>
      <c r="G516" s="924"/>
      <c r="H516" s="928" t="s">
        <v>148</v>
      </c>
      <c r="I516" s="923"/>
      <c r="J516" s="198" t="str">
        <f>IF(F516="","Belum Terisi",IF(SUM($F$513:$F$522)&gt;SUM('INPUTAN DESA ....'!$F$126:$F$130),"CEK",""))</f>
        <v/>
      </c>
      <c r="K516" s="31" t="str">
        <f t="shared" si="31"/>
        <v/>
      </c>
      <c r="L516" s="43"/>
      <c r="M516" s="21"/>
      <c r="N516" s="21" t="s">
        <v>668</v>
      </c>
      <c r="O516" s="21"/>
      <c r="P516" s="21"/>
      <c r="Q516" s="21"/>
      <c r="R516" s="21"/>
      <c r="S516" s="21"/>
      <c r="T516" s="21"/>
      <c r="U516" s="21"/>
      <c r="V516" s="21"/>
    </row>
    <row r="517" spans="1:22" s="2" customFormat="1" ht="30" customHeight="1" x14ac:dyDescent="0.25">
      <c r="A517" s="653">
        <f>A515+1</f>
        <v>122</v>
      </c>
      <c r="B517" s="375" t="s">
        <v>41</v>
      </c>
      <c r="C517" s="373" t="s">
        <v>2046</v>
      </c>
      <c r="D517" s="100">
        <f t="shared" si="32"/>
        <v>948</v>
      </c>
      <c r="E517" s="427" t="s">
        <v>33</v>
      </c>
      <c r="F517" s="718">
        <v>0</v>
      </c>
      <c r="G517" s="924"/>
      <c r="H517" s="928" t="s">
        <v>2785</v>
      </c>
      <c r="I517" s="923"/>
      <c r="J517" s="198" t="str">
        <f>IF(F517="","Belum Terisi",IF(SUM($F$513:$F$522)&gt;SUM('INPUTAN DESA ....'!$F$126:$F$130),"CEK",""))</f>
        <v/>
      </c>
      <c r="K517" s="31" t="str">
        <f t="shared" si="31"/>
        <v/>
      </c>
      <c r="L517" s="31"/>
      <c r="M517" s="21"/>
      <c r="N517" s="21" t="s">
        <v>668</v>
      </c>
      <c r="O517" s="21"/>
      <c r="P517" s="21"/>
      <c r="Q517" s="21"/>
      <c r="R517" s="21"/>
      <c r="S517" s="21"/>
      <c r="T517" s="21"/>
      <c r="U517" s="21"/>
      <c r="V517" s="21"/>
    </row>
    <row r="518" spans="1:22" s="2" customFormat="1" ht="30" customHeight="1" x14ac:dyDescent="0.25">
      <c r="A518" s="573"/>
      <c r="B518" s="376" t="s">
        <v>139</v>
      </c>
      <c r="C518" s="373" t="s">
        <v>2047</v>
      </c>
      <c r="D518" s="100">
        <f t="shared" si="32"/>
        <v>949</v>
      </c>
      <c r="E518" s="427" t="s">
        <v>33</v>
      </c>
      <c r="F518" s="717">
        <v>1</v>
      </c>
      <c r="G518" s="924"/>
      <c r="H518" s="928" t="s">
        <v>148</v>
      </c>
      <c r="I518" s="923"/>
      <c r="J518" s="198" t="str">
        <f>IF(F518="","Belum Terisi",IF(SUM($F$513:$F$522)&gt;SUM('INPUTAN DESA ....'!$F$126:$F$130),"CEK",""))</f>
        <v/>
      </c>
      <c r="K518" s="31" t="str">
        <f t="shared" si="31"/>
        <v/>
      </c>
      <c r="L518" s="43"/>
      <c r="M518" s="21"/>
      <c r="N518" s="21" t="s">
        <v>668</v>
      </c>
      <c r="O518" s="21"/>
      <c r="P518" s="21"/>
      <c r="Q518" s="21"/>
      <c r="R518" s="21"/>
      <c r="S518" s="21"/>
      <c r="T518" s="21"/>
      <c r="U518" s="21"/>
      <c r="V518" s="21"/>
    </row>
    <row r="519" spans="1:22" s="2" customFormat="1" ht="30" customHeight="1" x14ac:dyDescent="0.25">
      <c r="A519" s="653">
        <f>A517+1</f>
        <v>123</v>
      </c>
      <c r="B519" s="375" t="s">
        <v>41</v>
      </c>
      <c r="C519" s="373" t="s">
        <v>2048</v>
      </c>
      <c r="D519" s="100">
        <f t="shared" si="32"/>
        <v>950</v>
      </c>
      <c r="E519" s="427" t="s">
        <v>33</v>
      </c>
      <c r="F519" s="718">
        <v>0</v>
      </c>
      <c r="G519" s="924"/>
      <c r="H519" s="928" t="s">
        <v>2785</v>
      </c>
      <c r="I519" s="923"/>
      <c r="J519" s="198" t="str">
        <f>IF(F519="","Belum Terisi",IF(SUM($F$513:$F$522)&gt;SUM('INPUTAN DESA ....'!$F$126:$F$130),"CEK",""))</f>
        <v/>
      </c>
      <c r="K519" s="31" t="str">
        <f t="shared" si="31"/>
        <v/>
      </c>
      <c r="L519" s="43"/>
      <c r="M519" s="21"/>
      <c r="N519" s="21" t="s">
        <v>668</v>
      </c>
      <c r="O519" s="21"/>
      <c r="P519" s="21"/>
      <c r="Q519" s="21"/>
      <c r="R519" s="21"/>
      <c r="S519" s="21"/>
      <c r="T519" s="21"/>
      <c r="U519" s="21"/>
      <c r="V519" s="21"/>
    </row>
    <row r="520" spans="1:22" s="2" customFormat="1" ht="30" customHeight="1" x14ac:dyDescent="0.25">
      <c r="A520" s="573"/>
      <c r="B520" s="376" t="s">
        <v>139</v>
      </c>
      <c r="C520" s="373" t="s">
        <v>2049</v>
      </c>
      <c r="D520" s="100">
        <f t="shared" si="32"/>
        <v>951</v>
      </c>
      <c r="E520" s="427" t="s">
        <v>33</v>
      </c>
      <c r="F520" s="717">
        <v>0</v>
      </c>
      <c r="G520" s="924"/>
      <c r="H520" s="928" t="s">
        <v>148</v>
      </c>
      <c r="I520" s="923"/>
      <c r="J520" s="198" t="str">
        <f>IF(F520="","Belum Terisi",IF(SUM($F$513:$F$522)&gt;SUM('INPUTAN DESA ....'!$F$126:$F$130),"CEK",""))</f>
        <v/>
      </c>
      <c r="K520" s="31" t="str">
        <f t="shared" si="31"/>
        <v/>
      </c>
      <c r="L520" s="43"/>
      <c r="M520" s="21"/>
      <c r="N520" s="21" t="s">
        <v>668</v>
      </c>
      <c r="O520" s="21"/>
      <c r="P520" s="21"/>
      <c r="Q520" s="21"/>
      <c r="R520" s="21"/>
      <c r="S520" s="21"/>
      <c r="T520" s="21"/>
      <c r="U520" s="21"/>
      <c r="V520" s="21"/>
    </row>
    <row r="521" spans="1:22" s="2" customFormat="1" ht="30" customHeight="1" x14ac:dyDescent="0.25">
      <c r="A521" s="653">
        <f>A519+1</f>
        <v>124</v>
      </c>
      <c r="B521" s="375" t="s">
        <v>41</v>
      </c>
      <c r="C521" s="373" t="s">
        <v>2050</v>
      </c>
      <c r="D521" s="100">
        <f t="shared" si="32"/>
        <v>952</v>
      </c>
      <c r="E521" s="427" t="s">
        <v>33</v>
      </c>
      <c r="F521" s="718">
        <v>1</v>
      </c>
      <c r="G521" s="924"/>
      <c r="H521" s="928" t="s">
        <v>2785</v>
      </c>
      <c r="I521" s="923"/>
      <c r="J521" s="198" t="str">
        <f>IF(F521="","Belum Terisi",IF(SUM($F$513:$F$522)&gt;SUM('INPUTAN DESA ....'!$F$126:$F$130),"CEK",""))</f>
        <v/>
      </c>
      <c r="K521" s="31" t="str">
        <f t="shared" si="31"/>
        <v/>
      </c>
      <c r="L521" s="31"/>
      <c r="M521" s="21"/>
      <c r="N521" s="21" t="s">
        <v>668</v>
      </c>
      <c r="O521" s="21"/>
      <c r="P521" s="21"/>
      <c r="Q521" s="21"/>
      <c r="R521" s="21"/>
      <c r="S521" s="21"/>
      <c r="T521" s="21"/>
      <c r="U521" s="21"/>
      <c r="V521" s="21"/>
    </row>
    <row r="522" spans="1:22" s="2" customFormat="1" ht="30" customHeight="1" x14ac:dyDescent="0.25">
      <c r="A522" s="573"/>
      <c r="B522" s="376" t="s">
        <v>139</v>
      </c>
      <c r="C522" s="373" t="s">
        <v>2051</v>
      </c>
      <c r="D522" s="100">
        <f t="shared" si="32"/>
        <v>953</v>
      </c>
      <c r="E522" s="427" t="s">
        <v>33</v>
      </c>
      <c r="F522" s="717">
        <v>1</v>
      </c>
      <c r="G522" s="924"/>
      <c r="H522" s="928" t="s">
        <v>148</v>
      </c>
      <c r="I522" s="923"/>
      <c r="J522" s="198" t="str">
        <f>IF(F522="","Belum Terisi",IF(SUM($F$513:$F$522)&gt;SUM('INPUTAN DESA ....'!$F$126:$F$130),"CEK",""))</f>
        <v/>
      </c>
      <c r="K522" s="31" t="str">
        <f t="shared" si="31"/>
        <v/>
      </c>
      <c r="L522" s="43"/>
      <c r="M522" s="21"/>
      <c r="N522" s="21" t="s">
        <v>668</v>
      </c>
      <c r="O522" s="21"/>
      <c r="P522" s="21"/>
      <c r="Q522" s="21"/>
      <c r="R522" s="21"/>
      <c r="S522" s="21"/>
      <c r="T522" s="21"/>
      <c r="U522" s="21"/>
      <c r="V522" s="21"/>
    </row>
    <row r="523" spans="1:22" s="2" customFormat="1" ht="30" customHeight="1" x14ac:dyDescent="0.25">
      <c r="A523" s="582" t="s">
        <v>65</v>
      </c>
      <c r="B523" s="374"/>
      <c r="C523" s="374"/>
      <c r="D523" s="503"/>
      <c r="E523" s="429"/>
      <c r="F523" s="714"/>
      <c r="G523" s="924"/>
      <c r="H523" s="922"/>
      <c r="I523" s="923"/>
      <c r="J523" s="98"/>
      <c r="K523" s="31"/>
      <c r="L523" s="43"/>
      <c r="M523" s="21"/>
      <c r="N523" s="21"/>
      <c r="O523" s="21"/>
      <c r="P523" s="21"/>
      <c r="Q523" s="21"/>
      <c r="R523" s="21"/>
      <c r="S523" s="21"/>
      <c r="T523" s="21"/>
      <c r="U523" s="21"/>
      <c r="V523" s="21"/>
    </row>
    <row r="524" spans="1:22" s="2" customFormat="1" ht="30" customHeight="1" x14ac:dyDescent="0.25">
      <c r="A524" s="653">
        <f>A521+1</f>
        <v>125</v>
      </c>
      <c r="B524" s="254" t="s">
        <v>41</v>
      </c>
      <c r="C524" s="373" t="s">
        <v>66</v>
      </c>
      <c r="D524" s="100">
        <f>D522+1</f>
        <v>954</v>
      </c>
      <c r="E524" s="427" t="s">
        <v>171</v>
      </c>
      <c r="F524" s="693">
        <v>3</v>
      </c>
      <c r="G524" s="924"/>
      <c r="H524" s="923" t="s">
        <v>828</v>
      </c>
      <c r="I524" s="923"/>
      <c r="J524" s="198" t="str">
        <f>IF(LEN(F524)&gt;0,"","Belum Terisi")</f>
        <v/>
      </c>
      <c r="K524" s="31"/>
      <c r="L524" s="43"/>
      <c r="M524" s="21"/>
      <c r="N524" s="21"/>
      <c r="O524" s="21"/>
      <c r="P524" s="21"/>
      <c r="Q524" s="21"/>
      <c r="R524" s="21"/>
      <c r="S524" s="21"/>
      <c r="T524" s="21"/>
      <c r="U524" s="21"/>
      <c r="V524" s="21"/>
    </row>
    <row r="525" spans="1:22" s="2" customFormat="1" ht="30" customHeight="1" x14ac:dyDescent="0.25">
      <c r="A525" s="572"/>
      <c r="B525" s="254" t="s">
        <v>139</v>
      </c>
      <c r="C525" s="373" t="s">
        <v>68</v>
      </c>
      <c r="D525" s="100">
        <f t="shared" ref="D525:D526" si="33">D524+1</f>
        <v>955</v>
      </c>
      <c r="E525" s="427" t="s">
        <v>171</v>
      </c>
      <c r="F525" s="694" t="s">
        <v>2821</v>
      </c>
      <c r="G525" s="924"/>
      <c r="H525" s="923" t="s">
        <v>829</v>
      </c>
      <c r="I525" s="923"/>
      <c r="J525" s="198" t="str">
        <f>IF(LEN(F525)&gt;0,"","Belum Terisi")</f>
        <v/>
      </c>
      <c r="K525" s="31"/>
      <c r="L525" s="31"/>
      <c r="M525" s="21"/>
      <c r="N525" s="847" t="s">
        <v>668</v>
      </c>
      <c r="O525" s="21"/>
      <c r="P525" s="21"/>
      <c r="Q525" s="21"/>
      <c r="R525" s="21"/>
      <c r="S525" s="21"/>
      <c r="T525" s="21"/>
      <c r="U525" s="21"/>
      <c r="V525" s="21"/>
    </row>
    <row r="526" spans="1:22" s="2" customFormat="1" ht="30" customHeight="1" x14ac:dyDescent="0.25">
      <c r="A526" s="573"/>
      <c r="B526" s="254" t="s">
        <v>251</v>
      </c>
      <c r="C526" s="373" t="s">
        <v>69</v>
      </c>
      <c r="D526" s="100">
        <f t="shared" si="33"/>
        <v>956</v>
      </c>
      <c r="E526" s="427" t="s">
        <v>171</v>
      </c>
      <c r="F526" s="697" t="s">
        <v>263</v>
      </c>
      <c r="G526" s="924"/>
      <c r="H526" s="923" t="s">
        <v>830</v>
      </c>
      <c r="I526" s="923"/>
      <c r="J526" s="198" t="str">
        <f>IF(LEN(F526)&gt;0,"","Belum Terisi")</f>
        <v/>
      </c>
      <c r="K526" s="31"/>
      <c r="L526" s="43"/>
      <c r="M526" s="21"/>
      <c r="N526" s="847" t="s">
        <v>668</v>
      </c>
      <c r="O526" s="21"/>
      <c r="P526" s="21"/>
      <c r="Q526" s="21"/>
      <c r="R526" s="21"/>
      <c r="S526" s="21"/>
      <c r="T526" s="21"/>
      <c r="U526" s="21"/>
      <c r="V526" s="21"/>
    </row>
    <row r="527" spans="1:22" s="2" customFormat="1" ht="30" customHeight="1" x14ac:dyDescent="0.25">
      <c r="A527" s="582" t="s">
        <v>2053</v>
      </c>
      <c r="B527" s="374"/>
      <c r="C527" s="374"/>
      <c r="D527" s="38"/>
      <c r="E527" s="38"/>
      <c r="F527" s="714"/>
      <c r="G527" s="924"/>
      <c r="H527" s="923" t="s">
        <v>556</v>
      </c>
      <c r="I527" s="923"/>
      <c r="J527" s="198"/>
      <c r="K527" s="31"/>
      <c r="L527" s="43"/>
      <c r="M527" s="21"/>
      <c r="N527" s="21"/>
      <c r="O527" s="21"/>
      <c r="P527" s="21"/>
      <c r="Q527" s="21"/>
      <c r="R527" s="21"/>
      <c r="S527" s="21"/>
      <c r="T527" s="21"/>
      <c r="U527" s="21"/>
      <c r="V527" s="21"/>
    </row>
    <row r="528" spans="1:22" s="2" customFormat="1" ht="30" customHeight="1" x14ac:dyDescent="0.25">
      <c r="A528" s="654">
        <f>A524+1</f>
        <v>126</v>
      </c>
      <c r="B528" s="374"/>
      <c r="C528" s="373" t="s">
        <v>695</v>
      </c>
      <c r="D528" s="100">
        <f>D526+1</f>
        <v>957</v>
      </c>
      <c r="E528" s="455" t="s">
        <v>171</v>
      </c>
      <c r="F528" s="728" t="s">
        <v>263</v>
      </c>
      <c r="G528" s="924"/>
      <c r="H528" s="925"/>
      <c r="I528" s="923"/>
      <c r="J528" s="198" t="str">
        <f>IF(LEN(F528)&gt;0,"","Belum Terisi")</f>
        <v/>
      </c>
      <c r="K528" s="31"/>
      <c r="L528" s="43"/>
      <c r="M528" s="21"/>
      <c r="N528" s="21"/>
      <c r="O528" s="21"/>
      <c r="P528" s="21"/>
      <c r="Q528" s="21"/>
      <c r="R528" s="21"/>
      <c r="S528" s="21"/>
      <c r="T528" s="21"/>
      <c r="U528" s="21"/>
      <c r="V528" s="21" t="s">
        <v>636</v>
      </c>
    </row>
    <row r="529" spans="1:22" s="2" customFormat="1" ht="30" customHeight="1" x14ac:dyDescent="0.25">
      <c r="A529" s="654">
        <f>A528+1</f>
        <v>127</v>
      </c>
      <c r="B529" s="374"/>
      <c r="C529" s="373" t="s">
        <v>2482</v>
      </c>
      <c r="D529" s="100">
        <f>D528+1</f>
        <v>958</v>
      </c>
      <c r="E529" s="427" t="s">
        <v>171</v>
      </c>
      <c r="F529" s="699" t="s">
        <v>822</v>
      </c>
      <c r="G529" s="924"/>
      <c r="H529" s="923"/>
      <c r="I529" s="923"/>
      <c r="J529" s="198" t="str">
        <f>IF(LEN(F529)&gt;0,"","Belum Terisi")</f>
        <v/>
      </c>
      <c r="K529" s="31"/>
      <c r="L529" s="43"/>
      <c r="M529" s="21"/>
      <c r="N529" s="21"/>
      <c r="O529" s="21"/>
      <c r="P529" s="21"/>
      <c r="Q529" s="21"/>
      <c r="R529" s="21"/>
      <c r="S529" s="21"/>
      <c r="T529" s="21"/>
      <c r="U529" s="21"/>
      <c r="V529" s="21"/>
    </row>
    <row r="530" spans="1:22" s="2" customFormat="1" ht="30" customHeight="1" x14ac:dyDescent="0.25">
      <c r="A530" s="654">
        <f>A529+1</f>
        <v>128</v>
      </c>
      <c r="B530" s="374"/>
      <c r="C530" s="373" t="s">
        <v>2054</v>
      </c>
      <c r="D530" s="100">
        <f t="shared" ref="D530:D535" si="34">D529+1</f>
        <v>959</v>
      </c>
      <c r="E530" s="427" t="s">
        <v>171</v>
      </c>
      <c r="F530" s="699" t="s">
        <v>285</v>
      </c>
      <c r="G530" s="924"/>
      <c r="H530" s="925"/>
      <c r="I530" s="923"/>
      <c r="J530" s="198" t="str">
        <f>IF(LEN(F530)&gt;0,"","Belum Terisi")</f>
        <v/>
      </c>
      <c r="K530" s="31"/>
      <c r="L530" s="43"/>
      <c r="M530" s="21"/>
      <c r="N530" s="21"/>
      <c r="O530" s="21"/>
      <c r="P530" s="21"/>
      <c r="Q530" s="21"/>
      <c r="R530" s="21"/>
      <c r="S530" s="21"/>
      <c r="T530" s="21"/>
      <c r="U530" s="21"/>
      <c r="V530" s="21"/>
    </row>
    <row r="531" spans="1:22" s="2" customFormat="1" ht="30" customHeight="1" x14ac:dyDescent="0.25">
      <c r="A531" s="653">
        <f>A530+1</f>
        <v>129</v>
      </c>
      <c r="B531" s="254" t="s">
        <v>41</v>
      </c>
      <c r="C531" s="373" t="s">
        <v>1903</v>
      </c>
      <c r="D531" s="100">
        <f t="shared" si="34"/>
        <v>960</v>
      </c>
      <c r="E531" s="427" t="s">
        <v>62</v>
      </c>
      <c r="F531" s="718">
        <v>4</v>
      </c>
      <c r="G531" s="924"/>
      <c r="H531" s="928" t="s">
        <v>696</v>
      </c>
      <c r="I531" s="923"/>
      <c r="J531" s="198" t="str">
        <f>IF(LEN(F531)&gt;0,"","Belum Terisi")</f>
        <v/>
      </c>
      <c r="K531" s="31"/>
      <c r="L531" s="43"/>
      <c r="M531" s="21"/>
      <c r="N531" s="847" t="s">
        <v>668</v>
      </c>
      <c r="O531" s="21"/>
      <c r="P531" s="21"/>
      <c r="Q531" s="21"/>
      <c r="R531" s="21"/>
      <c r="S531" s="21"/>
      <c r="T531" s="21"/>
      <c r="U531" s="21"/>
      <c r="V531" s="21"/>
    </row>
    <row r="532" spans="1:22" s="2" customFormat="1" ht="30" customHeight="1" x14ac:dyDescent="0.25">
      <c r="A532" s="572"/>
      <c r="B532" s="254" t="s">
        <v>139</v>
      </c>
      <c r="C532" s="373" t="s">
        <v>1937</v>
      </c>
      <c r="D532" s="100">
        <f t="shared" si="34"/>
        <v>961</v>
      </c>
      <c r="E532" s="427" t="s">
        <v>62</v>
      </c>
      <c r="F532" s="716">
        <v>4</v>
      </c>
      <c r="G532" s="924"/>
      <c r="H532" s="922" t="s">
        <v>573</v>
      </c>
      <c r="I532" s="923"/>
      <c r="J532" s="198" t="str">
        <f>IF(F532="","Belum Terisi",IF(F532&gt;F531,"CEK",""))</f>
        <v/>
      </c>
      <c r="K532" s="31" t="str">
        <f>IF(J532="CEK","Tidak Lebih Besar dari Jumlah Posyandu di Desa","")</f>
        <v/>
      </c>
      <c r="L532" s="43"/>
      <c r="M532" s="21"/>
      <c r="N532" s="847" t="s">
        <v>668</v>
      </c>
      <c r="O532" s="21"/>
      <c r="P532" s="21"/>
      <c r="Q532" s="21"/>
      <c r="R532" s="21"/>
      <c r="S532" s="21"/>
      <c r="T532" s="21"/>
      <c r="U532" s="21"/>
      <c r="V532" s="21"/>
    </row>
    <row r="533" spans="1:22" s="2" customFormat="1" ht="30" customHeight="1" x14ac:dyDescent="0.25">
      <c r="A533" s="572"/>
      <c r="B533" s="254" t="s">
        <v>251</v>
      </c>
      <c r="C533" s="373" t="s">
        <v>1974</v>
      </c>
      <c r="D533" s="100">
        <f t="shared" si="34"/>
        <v>962</v>
      </c>
      <c r="E533" s="427" t="s">
        <v>62</v>
      </c>
      <c r="F533" s="716">
        <v>1</v>
      </c>
      <c r="G533" s="924"/>
      <c r="H533" s="922" t="s">
        <v>573</v>
      </c>
      <c r="I533" s="923"/>
      <c r="J533" s="198" t="str">
        <f>IF(F533="","Belum Terisi",IF(F533&gt;F531,"CEK",""))</f>
        <v/>
      </c>
      <c r="K533" s="31" t="str">
        <f>IF(J533="CEK","Tidak Lebih Besar dari Jumlah Posyandu di Desa","")</f>
        <v/>
      </c>
      <c r="L533" s="43"/>
      <c r="M533" s="21"/>
      <c r="N533" s="847" t="s">
        <v>668</v>
      </c>
      <c r="O533" s="21"/>
      <c r="P533" s="21"/>
      <c r="Q533" s="21"/>
      <c r="R533" s="21"/>
      <c r="S533" s="21"/>
      <c r="T533" s="21"/>
      <c r="U533" s="21"/>
      <c r="V533" s="21"/>
    </row>
    <row r="534" spans="1:22" s="2" customFormat="1" ht="30" customHeight="1" x14ac:dyDescent="0.25">
      <c r="A534" s="572"/>
      <c r="B534" s="254" t="s">
        <v>255</v>
      </c>
      <c r="C534" s="373" t="s">
        <v>2000</v>
      </c>
      <c r="D534" s="100">
        <f t="shared" si="34"/>
        <v>963</v>
      </c>
      <c r="E534" s="427" t="s">
        <v>171</v>
      </c>
      <c r="F534" s="694" t="s">
        <v>826</v>
      </c>
      <c r="G534" s="924"/>
      <c r="H534" s="923" t="s">
        <v>826</v>
      </c>
      <c r="I534" s="923"/>
      <c r="J534" s="198" t="str">
        <f>IF(LEN(F534)&gt;0,"","Belum Terisi")</f>
        <v/>
      </c>
      <c r="K534" s="31"/>
      <c r="L534" s="43"/>
      <c r="M534" s="21"/>
      <c r="N534" s="847" t="s">
        <v>668</v>
      </c>
      <c r="O534" s="21"/>
      <c r="P534" s="21"/>
      <c r="Q534" s="21"/>
      <c r="R534" s="21"/>
      <c r="S534" s="21"/>
      <c r="T534" s="21"/>
      <c r="U534" s="21"/>
      <c r="V534" s="21"/>
    </row>
    <row r="535" spans="1:22" s="2" customFormat="1" ht="30" customHeight="1" x14ac:dyDescent="0.25">
      <c r="A535" s="573"/>
      <c r="B535" s="254" t="s">
        <v>252</v>
      </c>
      <c r="C535" s="373" t="s">
        <v>2013</v>
      </c>
      <c r="D535" s="100">
        <f t="shared" si="34"/>
        <v>964</v>
      </c>
      <c r="E535" s="427" t="s">
        <v>171</v>
      </c>
      <c r="F535" s="697" t="s">
        <v>829</v>
      </c>
      <c r="G535" s="924"/>
      <c r="H535" s="923" t="s">
        <v>827</v>
      </c>
      <c r="I535" s="923"/>
      <c r="J535" s="198" t="str">
        <f>IF(LEN(F535)&gt;0,"","Belum Terisi")</f>
        <v/>
      </c>
      <c r="K535" s="31"/>
      <c r="L535" s="43"/>
      <c r="M535" s="21"/>
      <c r="N535" s="847" t="s">
        <v>668</v>
      </c>
      <c r="O535" s="21"/>
      <c r="P535" s="21"/>
      <c r="Q535" s="21"/>
      <c r="R535" s="21"/>
      <c r="S535" s="21"/>
      <c r="T535" s="21"/>
      <c r="U535" s="21"/>
      <c r="V535" s="21"/>
    </row>
    <row r="536" spans="1:22" s="2" customFormat="1" ht="30" customHeight="1" x14ac:dyDescent="0.25">
      <c r="A536" s="582" t="s">
        <v>52</v>
      </c>
      <c r="B536" s="372"/>
      <c r="C536" s="372"/>
      <c r="D536" s="511"/>
      <c r="E536" s="429"/>
      <c r="F536" s="714"/>
      <c r="G536" s="924"/>
      <c r="H536" s="922"/>
      <c r="I536" s="923"/>
      <c r="J536" s="98"/>
      <c r="K536" s="31"/>
      <c r="L536" s="31"/>
      <c r="M536" s="21"/>
      <c r="N536" s="21"/>
      <c r="O536" s="21"/>
      <c r="P536" s="21"/>
      <c r="Q536" s="21"/>
      <c r="R536" s="21"/>
      <c r="S536" s="21"/>
      <c r="T536" s="21"/>
      <c r="U536" s="21"/>
      <c r="V536" s="21"/>
    </row>
    <row r="537" spans="1:22" s="2" customFormat="1" ht="30" customHeight="1" x14ac:dyDescent="0.25">
      <c r="A537" s="653">
        <f>A531+1</f>
        <v>130</v>
      </c>
      <c r="B537" s="254" t="s">
        <v>41</v>
      </c>
      <c r="C537" s="373" t="s">
        <v>1904</v>
      </c>
      <c r="D537" s="100">
        <f>D535+1</f>
        <v>965</v>
      </c>
      <c r="E537" s="427" t="s">
        <v>171</v>
      </c>
      <c r="F537" s="693" t="s">
        <v>263</v>
      </c>
      <c r="G537" s="924"/>
      <c r="H537" s="922"/>
      <c r="I537" s="923"/>
      <c r="J537" s="198" t="str">
        <f>IF(LEN(F537)&gt;0,"","Belum Terisi")</f>
        <v/>
      </c>
      <c r="K537" s="31"/>
      <c r="L537" s="43"/>
      <c r="M537" s="21"/>
      <c r="N537" s="21"/>
      <c r="O537" s="21"/>
      <c r="P537" s="21"/>
      <c r="Q537" s="21"/>
      <c r="R537" s="21"/>
      <c r="S537" s="21"/>
      <c r="T537" s="21"/>
      <c r="U537" s="21"/>
      <c r="V537" s="21"/>
    </row>
    <row r="538" spans="1:22" s="2" customFormat="1" ht="30" customHeight="1" x14ac:dyDescent="0.25">
      <c r="A538" s="572"/>
      <c r="B538" s="254" t="s">
        <v>139</v>
      </c>
      <c r="C538" s="373" t="s">
        <v>1938</v>
      </c>
      <c r="D538" s="100">
        <f>D537+1</f>
        <v>966</v>
      </c>
      <c r="E538" s="427" t="s">
        <v>51</v>
      </c>
      <c r="F538" s="716">
        <v>10000</v>
      </c>
      <c r="G538" s="924"/>
      <c r="H538" s="928" t="s">
        <v>697</v>
      </c>
      <c r="I538" s="923"/>
      <c r="J538" s="198" t="str">
        <f>IF(LEN(F538)&gt;0,"","Belum Terisi")</f>
        <v/>
      </c>
      <c r="K538" s="31"/>
      <c r="L538" s="43"/>
      <c r="M538" s="21"/>
      <c r="N538" s="21"/>
      <c r="O538" s="21"/>
      <c r="P538" s="21"/>
      <c r="Q538" s="21"/>
      <c r="R538" s="21"/>
      <c r="S538" s="21"/>
      <c r="T538" s="21"/>
      <c r="U538" s="21"/>
      <c r="V538" s="21"/>
    </row>
    <row r="539" spans="1:22" s="2" customFormat="1" ht="30" customHeight="1" x14ac:dyDescent="0.25">
      <c r="A539" s="573"/>
      <c r="B539" s="254" t="s">
        <v>251</v>
      </c>
      <c r="C539" s="373" t="s">
        <v>1975</v>
      </c>
      <c r="D539" s="100">
        <f>D538+1</f>
        <v>967</v>
      </c>
      <c r="E539" s="28" t="s">
        <v>261</v>
      </c>
      <c r="F539" s="911" t="str">
        <f>INT(F538/(35*1000))&amp;" Jam "&amp;
INT(MOD((F538/(35*1000))*60,60))&amp;" Menit "&amp;
INT(MOD((F538/(35*1000))*3600,60))&amp;" Detik "</f>
        <v xml:space="preserve">0 Jam 17 Menit 8 Detik </v>
      </c>
      <c r="G539" s="924"/>
      <c r="H539" s="922" t="s">
        <v>572</v>
      </c>
      <c r="I539" s="923"/>
      <c r="J539" s="198" t="str">
        <f>IF(LEN(F539)&gt;0,"","Belum Terisi")</f>
        <v/>
      </c>
      <c r="K539" s="31"/>
      <c r="L539" s="43"/>
      <c r="M539" s="21"/>
      <c r="N539" s="21"/>
      <c r="O539" s="21"/>
      <c r="P539" s="21"/>
      <c r="Q539" s="21"/>
      <c r="R539" s="21"/>
      <c r="S539" s="21"/>
      <c r="T539" s="21"/>
      <c r="U539" s="21"/>
      <c r="V539" s="21"/>
    </row>
    <row r="540" spans="1:22" s="2" customFormat="1" ht="30" customHeight="1" x14ac:dyDescent="0.25">
      <c r="A540" s="582" t="s">
        <v>53</v>
      </c>
      <c r="B540" s="372"/>
      <c r="C540" s="372"/>
      <c r="D540" s="511"/>
      <c r="E540" s="429"/>
      <c r="F540" s="714"/>
      <c r="G540" s="924"/>
      <c r="H540" s="922"/>
      <c r="I540" s="923"/>
      <c r="J540" s="98"/>
      <c r="K540" s="31"/>
      <c r="L540" s="31"/>
      <c r="M540" s="21"/>
      <c r="N540" s="21"/>
      <c r="O540" s="21"/>
      <c r="P540" s="21"/>
      <c r="Q540" s="21"/>
      <c r="R540" s="21"/>
      <c r="S540" s="21"/>
      <c r="T540" s="21"/>
      <c r="U540" s="21"/>
      <c r="V540" s="21"/>
    </row>
    <row r="541" spans="1:22" s="2" customFormat="1" ht="30" customHeight="1" x14ac:dyDescent="0.25">
      <c r="A541" s="653">
        <f>A537+1</f>
        <v>131</v>
      </c>
      <c r="B541" s="254" t="s">
        <v>41</v>
      </c>
      <c r="C541" s="373" t="s">
        <v>1905</v>
      </c>
      <c r="D541" s="100">
        <f>D539+1</f>
        <v>968</v>
      </c>
      <c r="E541" s="427" t="s">
        <v>171</v>
      </c>
      <c r="F541" s="693" t="s">
        <v>263</v>
      </c>
      <c r="G541" s="924"/>
      <c r="H541" s="922"/>
      <c r="I541" s="923"/>
      <c r="J541" s="198" t="str">
        <f>IF(LEN(F541)&gt;0,"","Belum Terisi")</f>
        <v/>
      </c>
      <c r="K541" s="31"/>
      <c r="L541" s="43"/>
      <c r="M541" s="21"/>
      <c r="N541" s="21"/>
      <c r="O541" s="21"/>
      <c r="P541" s="21"/>
      <c r="Q541" s="21"/>
      <c r="R541" s="21"/>
      <c r="S541" s="21"/>
      <c r="T541" s="21"/>
      <c r="U541" s="21"/>
      <c r="V541" s="21"/>
    </row>
    <row r="542" spans="1:22" s="2" customFormat="1" ht="30" customHeight="1" x14ac:dyDescent="0.25">
      <c r="A542" s="572"/>
      <c r="B542" s="254" t="s">
        <v>139</v>
      </c>
      <c r="C542" s="373" t="s">
        <v>1939</v>
      </c>
      <c r="D542" s="100">
        <f>D541+1</f>
        <v>969</v>
      </c>
      <c r="E542" s="427" t="s">
        <v>51</v>
      </c>
      <c r="F542" s="716">
        <v>10000</v>
      </c>
      <c r="G542" s="924"/>
      <c r="H542" s="928" t="s">
        <v>697</v>
      </c>
      <c r="I542" s="923"/>
      <c r="J542" s="198" t="str">
        <f>IF(LEN(F542)&gt;0,"","Belum Terisi")</f>
        <v/>
      </c>
      <c r="K542" s="31"/>
      <c r="L542" s="43"/>
      <c r="M542" s="21"/>
      <c r="N542" s="21"/>
      <c r="O542" s="21"/>
      <c r="P542" s="21"/>
      <c r="Q542" s="21"/>
      <c r="R542" s="21"/>
      <c r="S542" s="21"/>
      <c r="T542" s="21"/>
      <c r="U542" s="21"/>
      <c r="V542" s="21"/>
    </row>
    <row r="543" spans="1:22" s="2" customFormat="1" ht="30" customHeight="1" x14ac:dyDescent="0.25">
      <c r="A543" s="573"/>
      <c r="B543" s="254" t="s">
        <v>251</v>
      </c>
      <c r="C543" s="373" t="s">
        <v>1976</v>
      </c>
      <c r="D543" s="100">
        <f>D542+1</f>
        <v>970</v>
      </c>
      <c r="E543" s="28" t="s">
        <v>261</v>
      </c>
      <c r="F543" s="911" t="str">
        <f>INT(F542/(35*1000))&amp;" Jam "&amp;
INT(MOD((F542/(35*1000))*60,60))&amp;" Menit "&amp;
INT(MOD((F542/(35*1000))*3600,60))&amp;" Detik "</f>
        <v xml:space="preserve">0 Jam 17 Menit 8 Detik </v>
      </c>
      <c r="G543" s="924"/>
      <c r="H543" s="922" t="s">
        <v>572</v>
      </c>
      <c r="I543" s="923"/>
      <c r="J543" s="198" t="str">
        <f>IF(LEN(F543)&gt;0,"","Belum Terisi")</f>
        <v/>
      </c>
      <c r="K543" s="31"/>
      <c r="L543" s="43"/>
      <c r="M543" s="21"/>
      <c r="N543" s="21"/>
      <c r="O543" s="21"/>
      <c r="P543" s="21"/>
      <c r="Q543" s="21"/>
      <c r="R543" s="21"/>
      <c r="S543" s="21"/>
      <c r="T543" s="21"/>
      <c r="U543" s="21"/>
      <c r="V543" s="21"/>
    </row>
    <row r="544" spans="1:22" s="2" customFormat="1" ht="30" customHeight="1" x14ac:dyDescent="0.25">
      <c r="A544" s="582" t="s">
        <v>54</v>
      </c>
      <c r="B544" s="372"/>
      <c r="C544" s="372"/>
      <c r="D544" s="511"/>
      <c r="E544" s="429"/>
      <c r="F544" s="714"/>
      <c r="G544" s="924"/>
      <c r="H544" s="922"/>
      <c r="I544" s="923"/>
      <c r="J544" s="98"/>
      <c r="K544" s="31"/>
      <c r="L544" s="31"/>
      <c r="M544" s="21"/>
      <c r="N544" s="21"/>
      <c r="O544" s="21"/>
      <c r="P544" s="21"/>
      <c r="Q544" s="21"/>
      <c r="R544" s="21"/>
      <c r="S544" s="21"/>
      <c r="T544" s="21"/>
      <c r="U544" s="21"/>
      <c r="V544" s="21"/>
    </row>
    <row r="545" spans="1:22" s="2" customFormat="1" ht="30" customHeight="1" x14ac:dyDescent="0.25">
      <c r="A545" s="653">
        <f>A541+1</f>
        <v>132</v>
      </c>
      <c r="B545" s="254" t="s">
        <v>41</v>
      </c>
      <c r="C545" s="373" t="s">
        <v>1906</v>
      </c>
      <c r="D545" s="100">
        <f>D543+1</f>
        <v>971</v>
      </c>
      <c r="E545" s="427" t="s">
        <v>171</v>
      </c>
      <c r="F545" s="693" t="s">
        <v>263</v>
      </c>
      <c r="G545" s="924"/>
      <c r="H545" s="922"/>
      <c r="I545" s="923"/>
      <c r="J545" s="198" t="str">
        <f>IF(LEN(F545)&gt;0,"","Belum Terisi")</f>
        <v/>
      </c>
      <c r="K545" s="31"/>
      <c r="L545" s="43"/>
      <c r="M545" s="21"/>
      <c r="N545" s="21"/>
      <c r="O545" s="21"/>
      <c r="P545" s="21"/>
      <c r="Q545" s="21"/>
      <c r="R545" s="21"/>
      <c r="S545" s="21"/>
      <c r="T545" s="21"/>
      <c r="U545" s="21"/>
      <c r="V545" s="21"/>
    </row>
    <row r="546" spans="1:22" s="2" customFormat="1" ht="30" customHeight="1" x14ac:dyDescent="0.25">
      <c r="A546" s="572"/>
      <c r="B546" s="254" t="s">
        <v>139</v>
      </c>
      <c r="C546" s="373" t="s">
        <v>1940</v>
      </c>
      <c r="D546" s="100">
        <f>D545+1</f>
        <v>972</v>
      </c>
      <c r="E546" s="427" t="s">
        <v>51</v>
      </c>
      <c r="F546" s="716">
        <v>5000</v>
      </c>
      <c r="G546" s="924"/>
      <c r="H546" s="928" t="s">
        <v>697</v>
      </c>
      <c r="I546" s="923"/>
      <c r="J546" s="198" t="str">
        <f>IF(LEN(F546)&gt;0,"","Belum Terisi")</f>
        <v/>
      </c>
      <c r="K546" s="31"/>
      <c r="L546" s="43"/>
      <c r="M546" s="21"/>
      <c r="N546" s="21"/>
      <c r="O546" s="21"/>
      <c r="P546" s="21"/>
      <c r="Q546" s="21"/>
      <c r="R546" s="21"/>
      <c r="S546" s="21"/>
      <c r="T546" s="21"/>
      <c r="U546" s="21"/>
      <c r="V546" s="21"/>
    </row>
    <row r="547" spans="1:22" s="2" customFormat="1" ht="30" customHeight="1" x14ac:dyDescent="0.25">
      <c r="A547" s="573"/>
      <c r="B547" s="254" t="s">
        <v>251</v>
      </c>
      <c r="C547" s="373" t="s">
        <v>1977</v>
      </c>
      <c r="D547" s="100">
        <f>D546+1</f>
        <v>973</v>
      </c>
      <c r="E547" s="28" t="s">
        <v>261</v>
      </c>
      <c r="F547" s="911" t="str">
        <f>INT(F546/(35*1000))&amp;" Jam "&amp;
INT(MOD((F546/(35*1000))*60,60))&amp;" Menit "&amp;
INT(MOD((F546/(35*1000))*3600,60))&amp;" Detik "</f>
        <v xml:space="preserve">0 Jam 8 Menit 34 Detik </v>
      </c>
      <c r="G547" s="924"/>
      <c r="H547" s="922" t="s">
        <v>572</v>
      </c>
      <c r="I547" s="923"/>
      <c r="J547" s="198" t="str">
        <f>IF(LEN(F547)&gt;0,"","Belum Terisi")</f>
        <v/>
      </c>
      <c r="K547" s="31"/>
      <c r="L547" s="43"/>
      <c r="M547" s="21"/>
      <c r="N547" s="21"/>
      <c r="O547" s="21"/>
      <c r="P547" s="21"/>
      <c r="Q547" s="21"/>
      <c r="R547" s="21"/>
      <c r="S547" s="21"/>
      <c r="T547" s="21"/>
      <c r="U547" s="21"/>
      <c r="V547" s="21"/>
    </row>
    <row r="548" spans="1:22" s="2" customFormat="1" ht="30" customHeight="1" x14ac:dyDescent="0.25">
      <c r="A548" s="582" t="s">
        <v>55</v>
      </c>
      <c r="B548" s="372"/>
      <c r="C548" s="372"/>
      <c r="D548" s="511"/>
      <c r="E548" s="429"/>
      <c r="F548" s="714"/>
      <c r="G548" s="924"/>
      <c r="H548" s="922"/>
      <c r="I548" s="923"/>
      <c r="J548" s="98"/>
      <c r="K548" s="31"/>
      <c r="L548" s="31"/>
      <c r="M548" s="21"/>
      <c r="N548" s="21"/>
      <c r="O548" s="21"/>
      <c r="P548" s="21"/>
      <c r="Q548" s="21"/>
      <c r="R548" s="21"/>
      <c r="S548" s="21"/>
      <c r="T548" s="21"/>
      <c r="U548" s="21"/>
      <c r="V548" s="21"/>
    </row>
    <row r="549" spans="1:22" s="2" customFormat="1" ht="30" customHeight="1" x14ac:dyDescent="0.25">
      <c r="A549" s="653">
        <f>A545+1</f>
        <v>133</v>
      </c>
      <c r="B549" s="254" t="s">
        <v>41</v>
      </c>
      <c r="C549" s="373" t="s">
        <v>1907</v>
      </c>
      <c r="D549" s="100">
        <f>D547+1</f>
        <v>974</v>
      </c>
      <c r="E549" s="427" t="s">
        <v>171</v>
      </c>
      <c r="F549" s="693" t="s">
        <v>263</v>
      </c>
      <c r="G549" s="924"/>
      <c r="H549" s="922"/>
      <c r="I549" s="923"/>
      <c r="J549" s="198" t="str">
        <f>IF(LEN(F549)&gt;0,"","Belum Terisi")</f>
        <v/>
      </c>
      <c r="K549" s="31"/>
      <c r="L549" s="43"/>
      <c r="M549" s="21"/>
      <c r="N549" s="21"/>
      <c r="O549" s="21"/>
      <c r="P549" s="21"/>
      <c r="Q549" s="21"/>
      <c r="R549" s="21"/>
      <c r="S549" s="21"/>
      <c r="T549" s="21"/>
      <c r="U549" s="21"/>
      <c r="V549" s="21"/>
    </row>
    <row r="550" spans="1:22" s="2" customFormat="1" ht="30" customHeight="1" x14ac:dyDescent="0.25">
      <c r="A550" s="572"/>
      <c r="B550" s="254" t="s">
        <v>139</v>
      </c>
      <c r="C550" s="373" t="s">
        <v>1941</v>
      </c>
      <c r="D550" s="100">
        <f>D549+1</f>
        <v>975</v>
      </c>
      <c r="E550" s="427" t="s">
        <v>51</v>
      </c>
      <c r="F550" s="716">
        <v>5000</v>
      </c>
      <c r="G550" s="924"/>
      <c r="H550" s="928" t="s">
        <v>697</v>
      </c>
      <c r="I550" s="923"/>
      <c r="J550" s="198" t="str">
        <f>IF(LEN(F550)&gt;0,"","Belum Terisi")</f>
        <v/>
      </c>
      <c r="K550" s="31"/>
      <c r="L550" s="43"/>
      <c r="M550" s="21"/>
      <c r="N550" s="21"/>
      <c r="O550" s="21"/>
      <c r="P550" s="21"/>
      <c r="Q550" s="21"/>
      <c r="R550" s="21"/>
      <c r="S550" s="21"/>
      <c r="T550" s="21"/>
      <c r="U550" s="21"/>
      <c r="V550" s="21"/>
    </row>
    <row r="551" spans="1:22" s="2" customFormat="1" ht="30" customHeight="1" x14ac:dyDescent="0.25">
      <c r="A551" s="573"/>
      <c r="B551" s="254" t="s">
        <v>251</v>
      </c>
      <c r="C551" s="373" t="s">
        <v>1978</v>
      </c>
      <c r="D551" s="100">
        <f>D550+1</f>
        <v>976</v>
      </c>
      <c r="E551" s="28" t="s">
        <v>261</v>
      </c>
      <c r="F551" s="911" t="str">
        <f>INT(F550/(35*1000))&amp;" Jam "&amp;
INT(MOD((F550/(35*1000))*60,60))&amp;" Menit "&amp;
INT(MOD((F550/(35*1000))*3600,60))&amp;" Detik "</f>
        <v xml:space="preserve">0 Jam 8 Menit 34 Detik </v>
      </c>
      <c r="G551" s="924"/>
      <c r="H551" s="922" t="s">
        <v>572</v>
      </c>
      <c r="I551" s="923"/>
      <c r="J551" s="198" t="str">
        <f>IF(LEN(F551)&gt;0,"","Belum Terisi")</f>
        <v/>
      </c>
      <c r="K551" s="31"/>
      <c r="L551" s="43"/>
      <c r="M551" s="21"/>
      <c r="N551" s="21"/>
      <c r="O551" s="21"/>
      <c r="P551" s="21"/>
      <c r="Q551" s="21"/>
      <c r="R551" s="21"/>
      <c r="S551" s="21"/>
      <c r="T551" s="21"/>
      <c r="U551" s="21"/>
      <c r="V551" s="21"/>
    </row>
    <row r="552" spans="1:22" s="2" customFormat="1" ht="30" customHeight="1" x14ac:dyDescent="0.25">
      <c r="A552" s="582" t="s">
        <v>56</v>
      </c>
      <c r="B552" s="372"/>
      <c r="C552" s="372"/>
      <c r="D552" s="511"/>
      <c r="E552" s="429"/>
      <c r="F552" s="714"/>
      <c r="G552" s="924"/>
      <c r="H552" s="922"/>
      <c r="I552" s="923"/>
      <c r="J552" s="98"/>
      <c r="K552" s="31"/>
      <c r="L552" s="31"/>
      <c r="M552" s="21"/>
      <c r="N552" s="21"/>
      <c r="O552" s="21"/>
      <c r="P552" s="21"/>
      <c r="Q552" s="21"/>
      <c r="R552" s="21"/>
      <c r="S552" s="21"/>
      <c r="T552" s="21"/>
      <c r="U552" s="21"/>
      <c r="V552" s="21"/>
    </row>
    <row r="553" spans="1:22" s="2" customFormat="1" ht="30" customHeight="1" x14ac:dyDescent="0.25">
      <c r="A553" s="653">
        <f>A549+1</f>
        <v>134</v>
      </c>
      <c r="B553" s="254" t="s">
        <v>41</v>
      </c>
      <c r="C553" s="373" t="s">
        <v>1908</v>
      </c>
      <c r="D553" s="100">
        <f>D551+1</f>
        <v>977</v>
      </c>
      <c r="E553" s="427" t="s">
        <v>171</v>
      </c>
      <c r="F553" s="693" t="s">
        <v>263</v>
      </c>
      <c r="G553" s="924"/>
      <c r="H553" s="922"/>
      <c r="I553" s="923"/>
      <c r="J553" s="198" t="str">
        <f>IF(LEN(F553)&gt;0,"","Belum Terisi")</f>
        <v/>
      </c>
      <c r="K553" s="31"/>
      <c r="L553" s="43"/>
      <c r="M553" s="21"/>
      <c r="N553" s="21"/>
      <c r="O553" s="21"/>
      <c r="P553" s="21"/>
      <c r="Q553" s="21"/>
      <c r="R553" s="21"/>
      <c r="S553" s="21"/>
      <c r="T553" s="21"/>
      <c r="U553" s="21"/>
      <c r="V553" s="21"/>
    </row>
    <row r="554" spans="1:22" s="2" customFormat="1" ht="30" customHeight="1" x14ac:dyDescent="0.25">
      <c r="A554" s="572"/>
      <c r="B554" s="254" t="s">
        <v>139</v>
      </c>
      <c r="C554" s="373" t="s">
        <v>1942</v>
      </c>
      <c r="D554" s="100">
        <f>D553+1</f>
        <v>978</v>
      </c>
      <c r="E554" s="427" t="s">
        <v>51</v>
      </c>
      <c r="F554" s="716">
        <v>7000</v>
      </c>
      <c r="G554" s="924"/>
      <c r="H554" s="928" t="s">
        <v>697</v>
      </c>
      <c r="I554" s="923"/>
      <c r="J554" s="198" t="str">
        <f>IF(LEN(F554)&gt;0,"","Belum Terisi")</f>
        <v/>
      </c>
      <c r="K554" s="31"/>
      <c r="L554" s="43"/>
      <c r="M554" s="21"/>
      <c r="N554" s="21"/>
      <c r="O554" s="21"/>
      <c r="P554" s="21"/>
      <c r="Q554" s="21"/>
      <c r="R554" s="21"/>
      <c r="S554" s="21"/>
      <c r="T554" s="21"/>
      <c r="U554" s="21"/>
      <c r="V554" s="21"/>
    </row>
    <row r="555" spans="1:22" s="2" customFormat="1" ht="30" customHeight="1" x14ac:dyDescent="0.25">
      <c r="A555" s="573"/>
      <c r="B555" s="254" t="s">
        <v>251</v>
      </c>
      <c r="C555" s="373" t="s">
        <v>1979</v>
      </c>
      <c r="D555" s="100">
        <f>D554+1</f>
        <v>979</v>
      </c>
      <c r="E555" s="28" t="s">
        <v>261</v>
      </c>
      <c r="F555" s="911" t="str">
        <f>INT(F554/(35*1000))&amp;" Jam "&amp;
INT(MOD((F554/(35*1000))*60,60))&amp;" Menit "&amp;
INT(MOD((F554/(35*1000))*3600,60))&amp;" Detik "</f>
        <v xml:space="preserve">0 Jam 12 Menit 0 Detik </v>
      </c>
      <c r="G555" s="924"/>
      <c r="H555" s="922" t="s">
        <v>572</v>
      </c>
      <c r="I555" s="923"/>
      <c r="J555" s="198" t="str">
        <f>IF(LEN(F555)&gt;0,"","Belum Terisi")</f>
        <v/>
      </c>
      <c r="K555" s="31"/>
      <c r="L555" s="43"/>
      <c r="M555" s="21"/>
      <c r="N555" s="21"/>
      <c r="O555" s="21"/>
      <c r="P555" s="21"/>
      <c r="Q555" s="21"/>
      <c r="R555" s="21"/>
      <c r="S555" s="21"/>
      <c r="T555" s="21"/>
      <c r="U555" s="21"/>
      <c r="V555" s="21"/>
    </row>
    <row r="556" spans="1:22" s="2" customFormat="1" ht="30" customHeight="1" x14ac:dyDescent="0.25">
      <c r="A556" s="582" t="s">
        <v>57</v>
      </c>
      <c r="B556" s="372"/>
      <c r="C556" s="372"/>
      <c r="D556" s="511"/>
      <c r="E556" s="429"/>
      <c r="F556" s="714"/>
      <c r="G556" s="924"/>
      <c r="H556" s="922"/>
      <c r="I556" s="923"/>
      <c r="J556" s="98"/>
      <c r="K556" s="31"/>
      <c r="L556" s="31"/>
      <c r="M556" s="21"/>
      <c r="N556" s="21"/>
      <c r="O556" s="21"/>
      <c r="P556" s="21"/>
      <c r="Q556" s="21"/>
      <c r="R556" s="21"/>
      <c r="S556" s="21"/>
      <c r="T556" s="21"/>
      <c r="U556" s="21"/>
      <c r="V556" s="21"/>
    </row>
    <row r="557" spans="1:22" s="2" customFormat="1" ht="30" customHeight="1" x14ac:dyDescent="0.25">
      <c r="A557" s="653">
        <f>A553+1</f>
        <v>135</v>
      </c>
      <c r="B557" s="254" t="s">
        <v>41</v>
      </c>
      <c r="C557" s="373" t="s">
        <v>1909</v>
      </c>
      <c r="D557" s="100">
        <f>D555+1</f>
        <v>980</v>
      </c>
      <c r="E557" s="427" t="s">
        <v>171</v>
      </c>
      <c r="F557" s="693" t="s">
        <v>263</v>
      </c>
      <c r="G557" s="924"/>
      <c r="H557" s="922"/>
      <c r="I557" s="923"/>
      <c r="J557" s="198" t="str">
        <f>IF(LEN(F557)&gt;0,"","Belum Terisi")</f>
        <v/>
      </c>
      <c r="K557" s="31"/>
      <c r="L557" s="43"/>
      <c r="M557" s="21"/>
      <c r="N557" s="21"/>
      <c r="O557" s="21"/>
      <c r="P557" s="21"/>
      <c r="Q557" s="21"/>
      <c r="R557" s="21"/>
      <c r="S557" s="21"/>
      <c r="T557" s="21"/>
      <c r="U557" s="21"/>
      <c r="V557" s="21"/>
    </row>
    <row r="558" spans="1:22" s="2" customFormat="1" ht="30" customHeight="1" x14ac:dyDescent="0.25">
      <c r="A558" s="572"/>
      <c r="B558" s="254" t="s">
        <v>139</v>
      </c>
      <c r="C558" s="373" t="s">
        <v>1943</v>
      </c>
      <c r="D558" s="100">
        <f>D557+1</f>
        <v>981</v>
      </c>
      <c r="E558" s="427" t="s">
        <v>51</v>
      </c>
      <c r="F558" s="716">
        <v>8000</v>
      </c>
      <c r="G558" s="924"/>
      <c r="H558" s="928" t="s">
        <v>697</v>
      </c>
      <c r="I558" s="923"/>
      <c r="J558" s="198" t="str">
        <f>IF(LEN(F558)&gt;0,"","Belum Terisi")</f>
        <v/>
      </c>
      <c r="K558" s="31"/>
      <c r="L558" s="43"/>
      <c r="M558" s="21"/>
      <c r="N558" s="21"/>
      <c r="O558" s="21"/>
      <c r="P558" s="21"/>
      <c r="Q558" s="21"/>
      <c r="R558" s="21"/>
      <c r="S558" s="21"/>
      <c r="T558" s="21"/>
      <c r="U558" s="21"/>
      <c r="V558" s="21"/>
    </row>
    <row r="559" spans="1:22" s="2" customFormat="1" ht="30" customHeight="1" x14ac:dyDescent="0.25">
      <c r="A559" s="573"/>
      <c r="B559" s="254" t="s">
        <v>251</v>
      </c>
      <c r="C559" s="373" t="s">
        <v>1980</v>
      </c>
      <c r="D559" s="100">
        <f>D558+1</f>
        <v>982</v>
      </c>
      <c r="E559" s="28" t="s">
        <v>261</v>
      </c>
      <c r="F559" s="911" t="str">
        <f>INT(F558/(35*1000))&amp;" Jam "&amp;
INT(MOD((F558/(35*1000))*60,60))&amp;" Menit "&amp;
INT(MOD((F558/(35*1000))*3600,60))&amp;" Detik "</f>
        <v xml:space="preserve">0 Jam 13 Menit 42 Detik </v>
      </c>
      <c r="G559" s="924"/>
      <c r="H559" s="922" t="s">
        <v>572</v>
      </c>
      <c r="I559" s="923"/>
      <c r="J559" s="198" t="str">
        <f>IF(LEN(F559)&gt;0,"","Belum Terisi")</f>
        <v/>
      </c>
      <c r="K559" s="31"/>
      <c r="L559" s="43"/>
      <c r="M559" s="21"/>
      <c r="N559" s="21"/>
      <c r="O559" s="21"/>
      <c r="P559" s="21"/>
      <c r="Q559" s="21"/>
      <c r="R559" s="21"/>
      <c r="S559" s="21"/>
      <c r="T559" s="21"/>
      <c r="U559" s="21"/>
      <c r="V559" s="21"/>
    </row>
    <row r="560" spans="1:22" s="2" customFormat="1" ht="30" customHeight="1" x14ac:dyDescent="0.25">
      <c r="A560" s="582" t="s">
        <v>58</v>
      </c>
      <c r="B560" s="372"/>
      <c r="C560" s="372"/>
      <c r="D560" s="511"/>
      <c r="E560" s="429"/>
      <c r="F560" s="714"/>
      <c r="G560" s="924"/>
      <c r="H560" s="922"/>
      <c r="I560" s="923"/>
      <c r="J560" s="98"/>
      <c r="K560" s="31"/>
      <c r="L560" s="31"/>
      <c r="M560" s="21"/>
      <c r="N560" s="21"/>
      <c r="O560" s="21"/>
      <c r="P560" s="21"/>
      <c r="Q560" s="21"/>
      <c r="R560" s="21"/>
      <c r="S560" s="21"/>
      <c r="T560" s="21"/>
      <c r="U560" s="21"/>
      <c r="V560" s="21"/>
    </row>
    <row r="561" spans="1:22" s="2" customFormat="1" ht="30" customHeight="1" x14ac:dyDescent="0.25">
      <c r="A561" s="653">
        <f>A557+1</f>
        <v>136</v>
      </c>
      <c r="B561" s="254" t="s">
        <v>41</v>
      </c>
      <c r="C561" s="373" t="s">
        <v>1910</v>
      </c>
      <c r="D561" s="100">
        <f>D559+1</f>
        <v>983</v>
      </c>
      <c r="E561" s="427" t="s">
        <v>171</v>
      </c>
      <c r="F561" s="693" t="s">
        <v>263</v>
      </c>
      <c r="G561" s="924"/>
      <c r="H561" s="922"/>
      <c r="I561" s="923"/>
      <c r="J561" s="198" t="str">
        <f>IF(LEN(F561)&gt;0,"","Belum Terisi")</f>
        <v/>
      </c>
      <c r="K561" s="31"/>
      <c r="L561" s="43"/>
      <c r="M561" s="21"/>
      <c r="N561" s="21"/>
      <c r="O561" s="21"/>
      <c r="P561" s="21"/>
      <c r="Q561" s="21"/>
      <c r="R561" s="21"/>
      <c r="S561" s="21"/>
      <c r="T561" s="21"/>
      <c r="U561" s="21"/>
      <c r="V561" s="21"/>
    </row>
    <row r="562" spans="1:22" s="2" customFormat="1" ht="30" customHeight="1" x14ac:dyDescent="0.25">
      <c r="A562" s="572"/>
      <c r="B562" s="254" t="s">
        <v>139</v>
      </c>
      <c r="C562" s="373" t="s">
        <v>1944</v>
      </c>
      <c r="D562" s="100">
        <f>D561+1</f>
        <v>984</v>
      </c>
      <c r="E562" s="427" t="s">
        <v>51</v>
      </c>
      <c r="F562" s="716">
        <v>10000</v>
      </c>
      <c r="G562" s="924"/>
      <c r="H562" s="928" t="s">
        <v>697</v>
      </c>
      <c r="I562" s="923"/>
      <c r="J562" s="198" t="str">
        <f>IF(LEN(F562)&gt;0,"","Belum Terisi")</f>
        <v/>
      </c>
      <c r="K562" s="31"/>
      <c r="L562" s="43"/>
      <c r="M562" s="21"/>
      <c r="N562" s="21"/>
      <c r="O562" s="21"/>
      <c r="P562" s="21"/>
      <c r="Q562" s="21"/>
      <c r="R562" s="21"/>
      <c r="S562" s="21"/>
      <c r="T562" s="21"/>
      <c r="U562" s="21"/>
      <c r="V562" s="21"/>
    </row>
    <row r="563" spans="1:22" s="2" customFormat="1" ht="30" customHeight="1" x14ac:dyDescent="0.25">
      <c r="A563" s="573"/>
      <c r="B563" s="254" t="s">
        <v>251</v>
      </c>
      <c r="C563" s="373" t="s">
        <v>1981</v>
      </c>
      <c r="D563" s="100">
        <f>D562+1</f>
        <v>985</v>
      </c>
      <c r="E563" s="28" t="s">
        <v>261</v>
      </c>
      <c r="F563" s="911" t="str">
        <f>INT(F562/(35*1000))&amp;" Jam "&amp;
INT(MOD((F562/(35*1000))*60,60))&amp;" Menit "&amp;
INT(MOD((F562/(35*1000))*3600,60))&amp;" Detik "</f>
        <v xml:space="preserve">0 Jam 17 Menit 8 Detik </v>
      </c>
      <c r="G563" s="924"/>
      <c r="H563" s="922" t="s">
        <v>572</v>
      </c>
      <c r="I563" s="923"/>
      <c r="J563" s="198" t="str">
        <f>IF(LEN(F563)&gt;0,"","Belum Terisi")</f>
        <v/>
      </c>
      <c r="K563" s="31"/>
      <c r="L563" s="43"/>
      <c r="M563" s="21"/>
      <c r="N563" s="21"/>
      <c r="O563" s="21"/>
      <c r="P563" s="21"/>
      <c r="Q563" s="21"/>
      <c r="R563" s="21"/>
      <c r="S563" s="21"/>
      <c r="T563" s="21"/>
      <c r="U563" s="21"/>
      <c r="V563" s="21"/>
    </row>
    <row r="564" spans="1:22" s="2" customFormat="1" ht="30" customHeight="1" x14ac:dyDescent="0.25">
      <c r="A564" s="582" t="s">
        <v>59</v>
      </c>
      <c r="B564" s="372"/>
      <c r="C564" s="372"/>
      <c r="D564" s="511"/>
      <c r="E564" s="429"/>
      <c r="F564" s="714"/>
      <c r="G564" s="924"/>
      <c r="H564" s="922"/>
      <c r="I564" s="923"/>
      <c r="J564" s="98"/>
      <c r="K564" s="31"/>
      <c r="L564" s="31"/>
      <c r="M564" s="21"/>
      <c r="N564" s="21"/>
      <c r="O564" s="21"/>
      <c r="P564" s="21"/>
      <c r="Q564" s="21"/>
      <c r="R564" s="21"/>
      <c r="S564" s="21"/>
      <c r="T564" s="21"/>
      <c r="U564" s="21"/>
      <c r="V564" s="21"/>
    </row>
    <row r="565" spans="1:22" s="2" customFormat="1" ht="30" customHeight="1" x14ac:dyDescent="0.25">
      <c r="A565" s="653">
        <f>A561+1</f>
        <v>137</v>
      </c>
      <c r="B565" s="254" t="s">
        <v>41</v>
      </c>
      <c r="C565" s="373" t="s">
        <v>1911</v>
      </c>
      <c r="D565" s="100">
        <f>D563+1</f>
        <v>986</v>
      </c>
      <c r="E565" s="427" t="s">
        <v>171</v>
      </c>
      <c r="F565" s="693" t="s">
        <v>263</v>
      </c>
      <c r="G565" s="924"/>
      <c r="H565" s="922"/>
      <c r="I565" s="923"/>
      <c r="J565" s="198" t="str">
        <f>IF(LEN(F565)&gt;0,"","Belum Terisi")</f>
        <v/>
      </c>
      <c r="K565" s="31"/>
      <c r="L565" s="43"/>
      <c r="M565" s="21"/>
      <c r="N565" s="21"/>
      <c r="O565" s="21"/>
      <c r="P565" s="21"/>
      <c r="Q565" s="21"/>
      <c r="R565" s="21"/>
      <c r="S565" s="21"/>
      <c r="T565" s="21"/>
      <c r="U565" s="21"/>
      <c r="V565" s="21"/>
    </row>
    <row r="566" spans="1:22" s="2" customFormat="1" ht="30" customHeight="1" x14ac:dyDescent="0.25">
      <c r="A566" s="572"/>
      <c r="B566" s="254" t="s">
        <v>139</v>
      </c>
      <c r="C566" s="373" t="s">
        <v>1945</v>
      </c>
      <c r="D566" s="100">
        <f>D565+1</f>
        <v>987</v>
      </c>
      <c r="E566" s="427" t="s">
        <v>51</v>
      </c>
      <c r="F566" s="716">
        <v>7500</v>
      </c>
      <c r="G566" s="924"/>
      <c r="H566" s="928" t="s">
        <v>697</v>
      </c>
      <c r="I566" s="923"/>
      <c r="J566" s="198" t="str">
        <f>IF(LEN(F566)&gt;0,"","Belum Terisi")</f>
        <v/>
      </c>
      <c r="K566" s="31"/>
      <c r="L566" s="43"/>
      <c r="M566" s="21"/>
      <c r="N566" s="21"/>
      <c r="O566" s="21"/>
      <c r="P566" s="21"/>
      <c r="Q566" s="21"/>
      <c r="R566" s="21"/>
      <c r="S566" s="21"/>
      <c r="T566" s="21"/>
      <c r="U566" s="21"/>
      <c r="V566" s="21"/>
    </row>
    <row r="567" spans="1:22" s="2" customFormat="1" ht="30" customHeight="1" x14ac:dyDescent="0.25">
      <c r="A567" s="573"/>
      <c r="B567" s="254" t="s">
        <v>251</v>
      </c>
      <c r="C567" s="373" t="s">
        <v>1982</v>
      </c>
      <c r="D567" s="100">
        <f>D566+1</f>
        <v>988</v>
      </c>
      <c r="E567" s="28" t="s">
        <v>261</v>
      </c>
      <c r="F567" s="911" t="str">
        <f>INT(F566/(35*1000))&amp;" Jam "&amp;
INT(MOD((F566/(35*1000))*60,60))&amp;" Menit "&amp;
INT(MOD((F566/(35*1000))*3600,60))&amp;" Detik "</f>
        <v xml:space="preserve">0 Jam 12 Menit 51 Detik </v>
      </c>
      <c r="G567" s="924"/>
      <c r="H567" s="922" t="s">
        <v>572</v>
      </c>
      <c r="I567" s="923"/>
      <c r="J567" s="198" t="str">
        <f>IF(LEN(F567)&gt;0,"","Belum Terisi")</f>
        <v/>
      </c>
      <c r="K567" s="31"/>
      <c r="L567" s="43"/>
      <c r="M567" s="21"/>
      <c r="N567" s="21"/>
      <c r="O567" s="21"/>
      <c r="P567" s="21"/>
      <c r="Q567" s="21"/>
      <c r="R567" s="21"/>
      <c r="S567" s="21"/>
      <c r="T567" s="21"/>
      <c r="U567" s="21"/>
      <c r="V567" s="21"/>
    </row>
    <row r="568" spans="1:22" s="2" customFormat="1" ht="30" customHeight="1" x14ac:dyDescent="0.25">
      <c r="A568" s="582" t="s">
        <v>60</v>
      </c>
      <c r="B568" s="372"/>
      <c r="C568" s="372"/>
      <c r="D568" s="511"/>
      <c r="E568" s="429"/>
      <c r="F568" s="714"/>
      <c r="G568" s="924"/>
      <c r="H568" s="922"/>
      <c r="I568" s="923"/>
      <c r="J568" s="198"/>
      <c r="K568" s="31"/>
      <c r="L568" s="43"/>
      <c r="M568" s="21"/>
      <c r="N568" s="21"/>
      <c r="O568" s="21"/>
      <c r="P568" s="21"/>
      <c r="Q568" s="21"/>
      <c r="R568" s="21"/>
      <c r="S568" s="21"/>
      <c r="T568" s="21"/>
      <c r="U568" s="21"/>
      <c r="V568" s="21"/>
    </row>
    <row r="569" spans="1:22" s="2" customFormat="1" ht="30" customHeight="1" x14ac:dyDescent="0.25">
      <c r="A569" s="653">
        <f>A565+1</f>
        <v>138</v>
      </c>
      <c r="B569" s="254" t="s">
        <v>41</v>
      </c>
      <c r="C569" s="373" t="s">
        <v>1946</v>
      </c>
      <c r="D569" s="100">
        <f>D567+1</f>
        <v>989</v>
      </c>
      <c r="E569" s="427" t="s">
        <v>51</v>
      </c>
      <c r="F569" s="718">
        <v>5000</v>
      </c>
      <c r="G569" s="924"/>
      <c r="H569" s="928" t="s">
        <v>697</v>
      </c>
      <c r="I569" s="923"/>
      <c r="J569" s="198" t="str">
        <f>IF(LEN(F569)&gt;0,"","Belum Terisi")</f>
        <v/>
      </c>
      <c r="K569" s="31"/>
      <c r="L569" s="43"/>
      <c r="M569" s="21"/>
      <c r="N569" s="21"/>
      <c r="O569" s="21"/>
      <c r="P569" s="21"/>
      <c r="Q569" s="21"/>
      <c r="R569" s="21"/>
      <c r="S569" s="21"/>
      <c r="T569" s="21"/>
      <c r="U569" s="21"/>
      <c r="V569" s="21"/>
    </row>
    <row r="570" spans="1:22" s="2" customFormat="1" ht="30" customHeight="1" x14ac:dyDescent="0.25">
      <c r="A570" s="573"/>
      <c r="B570" s="254" t="s">
        <v>139</v>
      </c>
      <c r="C570" s="373" t="s">
        <v>1983</v>
      </c>
      <c r="D570" s="100">
        <f t="shared" ref="D570" si="35">D569+1</f>
        <v>990</v>
      </c>
      <c r="E570" s="28" t="s">
        <v>261</v>
      </c>
      <c r="F570" s="911" t="str">
        <f>INT(F569/(35*1000))&amp;" Jam "&amp;
INT(MOD((F569/(35*1000))*60,60))&amp;" Menit "&amp;
INT(MOD((F569/(35*1000))*3600,60))&amp;" Detik "</f>
        <v xml:space="preserve">0 Jam 8 Menit 34 Detik </v>
      </c>
      <c r="G570" s="924"/>
      <c r="H570" s="922" t="s">
        <v>572</v>
      </c>
      <c r="I570" s="923"/>
      <c r="J570" s="198" t="str">
        <f>IF(LEN(F570)&gt;0,"","Belum Terisi")</f>
        <v/>
      </c>
      <c r="K570" s="31"/>
      <c r="L570" s="43"/>
      <c r="M570" s="21"/>
      <c r="N570" s="21"/>
      <c r="O570" s="21"/>
      <c r="P570" s="21"/>
      <c r="Q570" s="21"/>
      <c r="R570" s="21"/>
      <c r="S570" s="21"/>
      <c r="T570" s="21"/>
      <c r="U570" s="21"/>
      <c r="V570" s="21"/>
    </row>
    <row r="571" spans="1:22" s="2" customFormat="1" ht="30" customHeight="1" x14ac:dyDescent="0.25">
      <c r="A571" s="582" t="s">
        <v>61</v>
      </c>
      <c r="B571" s="372"/>
      <c r="C571" s="372"/>
      <c r="D571" s="511"/>
      <c r="E571" s="429"/>
      <c r="F571" s="714"/>
      <c r="G571" s="924"/>
      <c r="H571" s="922"/>
      <c r="I571" s="923"/>
      <c r="J571" s="98"/>
      <c r="K571" s="31"/>
      <c r="L571" s="31"/>
      <c r="M571" s="21"/>
      <c r="N571" s="21"/>
      <c r="O571" s="21"/>
      <c r="P571" s="21"/>
      <c r="Q571" s="21"/>
      <c r="R571" s="21"/>
      <c r="S571" s="21"/>
      <c r="T571" s="21"/>
      <c r="U571" s="21"/>
      <c r="V571" s="21"/>
    </row>
    <row r="572" spans="1:22" s="2" customFormat="1" ht="30" customHeight="1" x14ac:dyDescent="0.25">
      <c r="A572" s="653">
        <f>A569+1</f>
        <v>139</v>
      </c>
      <c r="B572" s="254" t="s">
        <v>41</v>
      </c>
      <c r="C572" s="373" t="s">
        <v>1912</v>
      </c>
      <c r="D572" s="100">
        <f>D570+1</f>
        <v>991</v>
      </c>
      <c r="E572" s="427" t="s">
        <v>171</v>
      </c>
      <c r="F572" s="693" t="s">
        <v>263</v>
      </c>
      <c r="G572" s="924"/>
      <c r="H572" s="922"/>
      <c r="I572" s="923"/>
      <c r="J572" s="198" t="str">
        <f>IF(LEN(F572)&gt;0,"","Belum Terisi")</f>
        <v/>
      </c>
      <c r="K572" s="31"/>
      <c r="L572" s="43"/>
      <c r="M572" s="21"/>
      <c r="N572" s="21"/>
      <c r="O572" s="21"/>
      <c r="P572" s="21"/>
      <c r="Q572" s="21"/>
      <c r="R572" s="21"/>
      <c r="S572" s="21"/>
      <c r="T572" s="21"/>
      <c r="U572" s="21"/>
      <c r="V572" s="21"/>
    </row>
    <row r="573" spans="1:22" s="2" customFormat="1" ht="30" customHeight="1" x14ac:dyDescent="0.25">
      <c r="A573" s="572"/>
      <c r="B573" s="254" t="s">
        <v>139</v>
      </c>
      <c r="C573" s="373" t="s">
        <v>1947</v>
      </c>
      <c r="D573" s="100">
        <f>D572+1</f>
        <v>992</v>
      </c>
      <c r="E573" s="427" t="s">
        <v>51</v>
      </c>
      <c r="F573" s="716">
        <v>3500</v>
      </c>
      <c r="G573" s="924"/>
      <c r="H573" s="928" t="s">
        <v>697</v>
      </c>
      <c r="I573" s="923"/>
      <c r="J573" s="198" t="str">
        <f>IF(LEN(F573)&gt;0,"","Belum Terisi")</f>
        <v/>
      </c>
      <c r="K573" s="31"/>
      <c r="L573" s="43"/>
      <c r="M573" s="21"/>
      <c r="N573" s="21"/>
      <c r="O573" s="21"/>
      <c r="P573" s="21"/>
      <c r="Q573" s="21"/>
      <c r="R573" s="21"/>
      <c r="S573" s="21"/>
      <c r="T573" s="21"/>
      <c r="U573" s="21"/>
      <c r="V573" s="21"/>
    </row>
    <row r="574" spans="1:22" s="2" customFormat="1" ht="30" customHeight="1" x14ac:dyDescent="0.25">
      <c r="A574" s="573"/>
      <c r="B574" s="254" t="s">
        <v>251</v>
      </c>
      <c r="C574" s="373" t="s">
        <v>1984</v>
      </c>
      <c r="D574" s="100">
        <f t="shared" ref="D574" si="36">D573+1</f>
        <v>993</v>
      </c>
      <c r="E574" s="28" t="s">
        <v>261</v>
      </c>
      <c r="F574" s="911" t="str">
        <f>INT(F573/(35*1000))&amp;" Jam "&amp;
INT(MOD((F573/(35*1000))*60,60))&amp;" Menit "&amp;
INT(MOD((F573/(35*1000))*3600,60))&amp;" Detik "</f>
        <v xml:space="preserve">0 Jam 6 Menit 0 Detik </v>
      </c>
      <c r="G574" s="924"/>
      <c r="H574" s="922" t="s">
        <v>572</v>
      </c>
      <c r="I574" s="923"/>
      <c r="J574" s="198" t="str">
        <f>IF(LEN(F574)&gt;0,"","Belum Terisi")</f>
        <v/>
      </c>
      <c r="K574" s="31"/>
      <c r="L574" s="43"/>
      <c r="M574" s="21"/>
      <c r="N574" s="21"/>
      <c r="O574" s="21"/>
      <c r="P574" s="21"/>
      <c r="Q574" s="21"/>
      <c r="R574" s="21"/>
      <c r="S574" s="21"/>
      <c r="T574" s="21"/>
      <c r="U574" s="21"/>
      <c r="V574" s="21"/>
    </row>
    <row r="575" spans="1:22" s="2" customFormat="1" ht="30" customHeight="1" x14ac:dyDescent="0.25">
      <c r="A575" s="582" t="s">
        <v>2055</v>
      </c>
      <c r="B575" s="372"/>
      <c r="C575" s="372"/>
      <c r="D575" s="511"/>
      <c r="E575" s="429"/>
      <c r="F575" s="714"/>
      <c r="G575" s="924"/>
      <c r="H575" s="922"/>
      <c r="I575" s="923"/>
      <c r="J575" s="198"/>
      <c r="K575" s="31"/>
      <c r="L575" s="43"/>
      <c r="M575" s="21"/>
      <c r="N575" s="21"/>
      <c r="O575" s="21"/>
      <c r="P575" s="21"/>
      <c r="Q575" s="21"/>
      <c r="R575" s="21"/>
      <c r="S575" s="21"/>
      <c r="T575" s="21"/>
      <c r="U575" s="21"/>
      <c r="V575" s="21"/>
    </row>
    <row r="576" spans="1:22" s="2" customFormat="1" ht="30" customHeight="1" x14ac:dyDescent="0.25">
      <c r="A576" s="653">
        <f>A572+1</f>
        <v>140</v>
      </c>
      <c r="B576" s="254" t="s">
        <v>41</v>
      </c>
      <c r="C576" s="373" t="s">
        <v>1948</v>
      </c>
      <c r="D576" s="100">
        <f>D574+1</f>
        <v>994</v>
      </c>
      <c r="E576" s="462" t="s">
        <v>33</v>
      </c>
      <c r="F576" s="825">
        <v>0</v>
      </c>
      <c r="G576" s="924"/>
      <c r="H576" s="928" t="s">
        <v>698</v>
      </c>
      <c r="I576" s="923"/>
      <c r="J576" s="198" t="str">
        <f>IF(LEN(F576)&gt;0,"","Belum Terisi")</f>
        <v/>
      </c>
      <c r="K576" s="31"/>
      <c r="L576" s="43"/>
      <c r="M576" s="21"/>
      <c r="N576" s="21"/>
      <c r="O576" s="21"/>
      <c r="P576" s="21"/>
      <c r="Q576" s="21"/>
      <c r="R576" s="21"/>
      <c r="S576" s="21"/>
      <c r="T576" s="21"/>
      <c r="U576" s="21"/>
      <c r="V576" s="21"/>
    </row>
    <row r="577" spans="1:22" s="2" customFormat="1" ht="30" customHeight="1" x14ac:dyDescent="0.25">
      <c r="A577" s="572"/>
      <c r="B577" s="254" t="s">
        <v>139</v>
      </c>
      <c r="C577" s="373" t="s">
        <v>1949</v>
      </c>
      <c r="D577" s="100">
        <f>D576+1</f>
        <v>995</v>
      </c>
      <c r="E577" s="462" t="s">
        <v>33</v>
      </c>
      <c r="F577" s="826">
        <v>1</v>
      </c>
      <c r="G577" s="924"/>
      <c r="H577" s="928" t="s">
        <v>698</v>
      </c>
      <c r="I577" s="923"/>
      <c r="J577" s="198" t="str">
        <f>IF(LEN(F577)&gt;0,"","Belum Terisi")</f>
        <v/>
      </c>
      <c r="K577" s="31"/>
      <c r="L577" s="31"/>
      <c r="M577" s="21"/>
      <c r="N577" s="21"/>
      <c r="O577" s="21"/>
      <c r="P577" s="21"/>
      <c r="Q577" s="21"/>
      <c r="R577" s="21"/>
      <c r="S577" s="21"/>
      <c r="T577" s="21"/>
      <c r="U577" s="21"/>
      <c r="V577" s="21"/>
    </row>
    <row r="578" spans="1:22" s="2" customFormat="1" ht="30" customHeight="1" x14ac:dyDescent="0.25">
      <c r="A578" s="572"/>
      <c r="B578" s="254" t="s">
        <v>251</v>
      </c>
      <c r="C578" s="373" t="s">
        <v>1985</v>
      </c>
      <c r="D578" s="100">
        <f t="shared" ref="D578:D580" si="37">D577+1</f>
        <v>996</v>
      </c>
      <c r="E578" s="509" t="s">
        <v>171</v>
      </c>
      <c r="F578" s="827" t="s">
        <v>826</v>
      </c>
      <c r="G578" s="924"/>
      <c r="H578" s="928"/>
      <c r="I578" s="923"/>
      <c r="J578" s="198" t="str">
        <f>IF(LEN(F578)&gt;0,"","Belum Terisi")</f>
        <v/>
      </c>
      <c r="K578" s="31"/>
      <c r="L578" s="43"/>
      <c r="M578" s="21"/>
      <c r="N578" s="21"/>
      <c r="O578" s="21"/>
      <c r="P578" s="21"/>
      <c r="Q578" s="21"/>
      <c r="R578" s="21"/>
      <c r="S578" s="21"/>
      <c r="T578" s="21"/>
      <c r="U578" s="21"/>
      <c r="V578" s="21" t="s">
        <v>636</v>
      </c>
    </row>
    <row r="579" spans="1:22" s="2" customFormat="1" ht="30" customHeight="1" x14ac:dyDescent="0.25">
      <c r="A579" s="573"/>
      <c r="B579" s="254" t="s">
        <v>255</v>
      </c>
      <c r="C579" s="373" t="s">
        <v>1950</v>
      </c>
      <c r="D579" s="100">
        <f t="shared" si="37"/>
        <v>997</v>
      </c>
      <c r="E579" s="429" t="s">
        <v>33</v>
      </c>
      <c r="F579" s="717">
        <v>0</v>
      </c>
      <c r="G579" s="924"/>
      <c r="H579" s="928" t="s">
        <v>704</v>
      </c>
      <c r="I579" s="923"/>
      <c r="J579" s="198" t="str">
        <f>IF(LEN(F579)&gt;0,"","Belum Terisi")</f>
        <v/>
      </c>
      <c r="K579" s="31"/>
      <c r="L579" s="31"/>
      <c r="M579" s="21"/>
      <c r="N579" s="21"/>
      <c r="O579" s="21"/>
      <c r="P579" s="21"/>
      <c r="Q579" s="21"/>
      <c r="R579" s="21"/>
      <c r="S579" s="21"/>
      <c r="T579" s="21"/>
      <c r="U579" s="21"/>
      <c r="V579" s="21"/>
    </row>
    <row r="580" spans="1:22" s="2" customFormat="1" ht="30" customHeight="1" x14ac:dyDescent="0.25">
      <c r="A580" s="654">
        <f>A576+1</f>
        <v>141</v>
      </c>
      <c r="B580" s="374"/>
      <c r="C580" s="373" t="s">
        <v>1951</v>
      </c>
      <c r="D580" s="100">
        <f t="shared" si="37"/>
        <v>998</v>
      </c>
      <c r="E580" s="28" t="s">
        <v>261</v>
      </c>
      <c r="F580" s="765" t="str">
        <f>IF('INPUTAN DESA ....'!E303=0,"Tidak Ada",IF(AND('INPUTAN DESA ....'!E303&gt;0,'INPUTAN DESA ....'!E303&lt;=50%),"Ya, Sebagian Kecil",IF(AND('INPUTAN DESA ....'!E303&gt;50%,'INPUTAN DESA ....'!E303&lt;=100%),"Ya, Sebagian Besar","Tidak Teridentifikasi")))</f>
        <v>Ya, Sebagian Kecil</v>
      </c>
      <c r="G580" s="924"/>
      <c r="H580" s="925"/>
      <c r="I580" s="923"/>
      <c r="J580" s="198" t="str">
        <f>IF(F580="Tidak Teridentifikasi","CEK","")</f>
        <v/>
      </c>
      <c r="K580" s="31"/>
      <c r="L580" s="43"/>
      <c r="M580" s="21"/>
      <c r="N580" s="21"/>
      <c r="O580" s="21"/>
      <c r="P580" s="21"/>
      <c r="Q580" s="21"/>
      <c r="R580" s="21"/>
      <c r="S580" s="21"/>
      <c r="T580" s="21"/>
      <c r="U580" s="21"/>
      <c r="V580" s="21"/>
    </row>
    <row r="581" spans="1:22" s="2" customFormat="1" ht="30" customHeight="1" x14ac:dyDescent="0.25">
      <c r="A581" s="582" t="s">
        <v>2056</v>
      </c>
      <c r="B581" s="372"/>
      <c r="C581" s="372"/>
      <c r="D581" s="503"/>
      <c r="E581" s="429"/>
      <c r="F581" s="714"/>
      <c r="G581" s="924"/>
      <c r="H581" s="925"/>
      <c r="I581" s="923"/>
      <c r="J581" s="198"/>
      <c r="K581" s="31"/>
      <c r="L581" s="43"/>
      <c r="M581" s="21"/>
      <c r="N581" s="21"/>
      <c r="O581" s="21"/>
      <c r="P581" s="21"/>
      <c r="Q581" s="21"/>
      <c r="R581" s="21"/>
      <c r="S581" s="21"/>
      <c r="T581" s="21"/>
      <c r="U581" s="21"/>
      <c r="V581" s="21"/>
    </row>
    <row r="582" spans="1:22" s="2" customFormat="1" ht="30" customHeight="1" x14ac:dyDescent="0.25">
      <c r="A582" s="653">
        <f>A580+1</f>
        <v>142</v>
      </c>
      <c r="B582" s="254" t="s">
        <v>41</v>
      </c>
      <c r="C582" s="373" t="s">
        <v>1913</v>
      </c>
      <c r="D582" s="512">
        <f>D580+1</f>
        <v>999</v>
      </c>
      <c r="E582" s="427" t="s">
        <v>171</v>
      </c>
      <c r="F582" s="699" t="s">
        <v>2822</v>
      </c>
      <c r="G582" s="924"/>
      <c r="H582" s="922"/>
      <c r="I582" s="947"/>
      <c r="J582" s="198" t="str">
        <f>IF(LEN(F582)&gt;0,"","Belum Terisi")</f>
        <v/>
      </c>
      <c r="K582" s="31"/>
      <c r="L582" s="43"/>
      <c r="M582" s="21"/>
      <c r="N582" s="21"/>
      <c r="O582" s="21"/>
      <c r="P582" s="21"/>
      <c r="Q582" s="21"/>
      <c r="R582" s="21"/>
      <c r="S582" s="21"/>
      <c r="T582" s="21"/>
      <c r="U582" s="21"/>
      <c r="V582" s="21"/>
    </row>
    <row r="583" spans="1:22" s="2" customFormat="1" ht="30" customHeight="1" x14ac:dyDescent="0.25">
      <c r="A583" s="572"/>
      <c r="B583" s="254" t="s">
        <v>139</v>
      </c>
      <c r="C583" s="373" t="s">
        <v>1952</v>
      </c>
      <c r="D583" s="512">
        <f>D582+1</f>
        <v>1000</v>
      </c>
      <c r="E583" s="455" t="s">
        <v>638</v>
      </c>
      <c r="F583" s="718">
        <v>761</v>
      </c>
      <c r="G583" s="924"/>
      <c r="H583" s="922" t="s">
        <v>702</v>
      </c>
      <c r="I583" s="947"/>
      <c r="J583" s="198" t="str">
        <f>IF(F583="","Belum Terisi",IF(SUM($F$583:$F$586)&lt;&gt;'INPUTAN DESA ....'!$F$124,"CEK",IF(AND(OR(F583&lt;$F$584,F583&lt;$F$585,F583&lt;$F$586),$F$582="Jamban Sendiri"),"CEK","")))</f>
        <v/>
      </c>
      <c r="K583" s="31" t="str">
        <f>IF(COUNTIF($J$583:$J$586,"CEK")=4,"Total Jumlah Rumah Jamban harus = Total Rumah di Desa",IF(J583="CEK","Sebagian Besar BAB "&amp;$F$582,""))</f>
        <v/>
      </c>
      <c r="L583" s="43"/>
      <c r="M583" s="21"/>
      <c r="N583" s="21"/>
      <c r="O583" s="21"/>
      <c r="P583" s="21"/>
      <c r="Q583" s="21"/>
      <c r="R583" s="21"/>
      <c r="S583" s="21"/>
      <c r="T583" s="21"/>
      <c r="U583" s="21"/>
      <c r="V583" s="21"/>
    </row>
    <row r="584" spans="1:22" s="2" customFormat="1" ht="30" customHeight="1" x14ac:dyDescent="0.25">
      <c r="A584" s="572"/>
      <c r="B584" s="254" t="s">
        <v>251</v>
      </c>
      <c r="C584" s="373" t="s">
        <v>1986</v>
      </c>
      <c r="D584" s="512">
        <f t="shared" ref="D584:D586" si="38">D583+1</f>
        <v>1001</v>
      </c>
      <c r="E584" s="455" t="s">
        <v>638</v>
      </c>
      <c r="F584" s="716">
        <v>5</v>
      </c>
      <c r="G584" s="924"/>
      <c r="H584" s="922" t="s">
        <v>702</v>
      </c>
      <c r="I584" s="947"/>
      <c r="J584" s="198" t="str">
        <f>IF(F584="","Belum Terisi",IF(SUM($F$583:$F$586)&lt;&gt;'INPUTAN DESA ....'!$F$124,"CEK",IF(AND(OR(F584&lt;$F$583,F584&lt;$F$585,F584&lt;$F$586),$F$582="Jamban Bersama"),"CEK","")))</f>
        <v/>
      </c>
      <c r="K584" s="31" t="str">
        <f>IF(COUNTIF($J$583:$J$586,"CEK")=4,"Total Jumlah Rumah Jamban harus = Total Rumah di Desa",IF(J584="CEK","Sebagian Besar BAB "&amp;$F$582,""))</f>
        <v/>
      </c>
      <c r="L584" s="31"/>
      <c r="M584" s="21"/>
      <c r="N584" s="21"/>
      <c r="O584" s="21"/>
      <c r="P584" s="21"/>
      <c r="Q584" s="21"/>
      <c r="R584" s="21"/>
      <c r="S584" s="21"/>
      <c r="T584" s="21"/>
      <c r="U584" s="21"/>
      <c r="V584" s="21"/>
    </row>
    <row r="585" spans="1:22" s="2" customFormat="1" ht="30" customHeight="1" x14ac:dyDescent="0.25">
      <c r="A585" s="572"/>
      <c r="B585" s="254" t="s">
        <v>255</v>
      </c>
      <c r="C585" s="373" t="s">
        <v>2001</v>
      </c>
      <c r="D585" s="512">
        <f t="shared" si="38"/>
        <v>1002</v>
      </c>
      <c r="E585" s="455" t="s">
        <v>638</v>
      </c>
      <c r="F585" s="716">
        <v>5</v>
      </c>
      <c r="G585" s="924"/>
      <c r="H585" s="922" t="s">
        <v>702</v>
      </c>
      <c r="I585" s="947"/>
      <c r="J585" s="198" t="str">
        <f>IF(F585="","Belum Terisi",IF(SUM($F$583:$F$586)&lt;&gt;'INPUTAN DESA ....'!$F$124,"CEK",IF(AND(OR(F585&lt;$F$583,F585&lt;$F$584,F585&lt;$F$586),$F$582="Jamban Umum"),"CEK","")))</f>
        <v/>
      </c>
      <c r="K585" s="31" t="str">
        <f>IF(COUNTIF($J$583:$J$586,"CEK")=4,"Total Jumlah Rumah Jamban harus = Total Rumah di Desa",IF(J585="CEK","Sebagian Besar BAB "&amp;$F$582,""))</f>
        <v/>
      </c>
      <c r="L585" s="43"/>
      <c r="M585" s="21"/>
      <c r="N585" s="21"/>
      <c r="O585" s="21"/>
      <c r="P585" s="21"/>
      <c r="Q585" s="21"/>
      <c r="R585" s="21"/>
      <c r="S585" s="21"/>
      <c r="T585" s="21"/>
      <c r="U585" s="21"/>
      <c r="V585" s="21"/>
    </row>
    <row r="586" spans="1:22" s="2" customFormat="1" ht="30" customHeight="1" x14ac:dyDescent="0.25">
      <c r="A586" s="573"/>
      <c r="B586" s="254" t="s">
        <v>252</v>
      </c>
      <c r="C586" s="373" t="s">
        <v>2014</v>
      </c>
      <c r="D586" s="512">
        <f t="shared" si="38"/>
        <v>1003</v>
      </c>
      <c r="E586" s="455" t="s">
        <v>638</v>
      </c>
      <c r="F586" s="717">
        <v>0</v>
      </c>
      <c r="G586" s="924"/>
      <c r="H586" s="922" t="s">
        <v>702</v>
      </c>
      <c r="I586" s="947"/>
      <c r="J586" s="198" t="str">
        <f>IF(F586="","Belum Terisi",IF(SUM($F$583:$F$586)&lt;&gt;'INPUTAN DESA ....'!$F$124,"CEK",IF(AND(OR(F586&lt;$F$583,F586&lt;$F$584,F586&lt;F585),$F$582="Bukan Jamban"),"CEK","")))</f>
        <v/>
      </c>
      <c r="K586" s="31" t="str">
        <f>IF(COUNTIF($J$583:$J$586,"CEK")=4,"Total Jumlah Rumah Jamban harus = Total Rumah di Desa",IF(J586="CEK","Sebagian Besar BAB "&amp;$F$582,""))</f>
        <v/>
      </c>
      <c r="L586" s="43"/>
      <c r="M586" s="21"/>
      <c r="N586" s="21"/>
      <c r="O586" s="21"/>
      <c r="P586" s="21"/>
      <c r="Q586" s="21"/>
      <c r="R586" s="21"/>
      <c r="S586" s="21"/>
      <c r="T586" s="21"/>
      <c r="U586" s="21"/>
      <c r="V586" s="21"/>
    </row>
    <row r="587" spans="1:22" s="2" customFormat="1" ht="30" customHeight="1" x14ac:dyDescent="0.25">
      <c r="A587" s="582" t="s">
        <v>713</v>
      </c>
      <c r="B587" s="372"/>
      <c r="C587" s="372"/>
      <c r="D587" s="503"/>
      <c r="E587" s="429"/>
      <c r="F587" s="714"/>
      <c r="G587" s="924"/>
      <c r="H587" s="922"/>
      <c r="I587" s="923"/>
      <c r="J587" s="98"/>
      <c r="K587" s="31"/>
      <c r="L587" s="43"/>
      <c r="M587" s="21"/>
      <c r="N587" s="21"/>
      <c r="O587" s="21"/>
      <c r="P587" s="21"/>
      <c r="Q587" s="21"/>
      <c r="R587" s="21"/>
      <c r="S587" s="21"/>
      <c r="T587" s="21"/>
      <c r="U587" s="21"/>
      <c r="V587" s="21"/>
    </row>
    <row r="588" spans="1:22" s="2" customFormat="1" ht="30" customHeight="1" x14ac:dyDescent="0.25">
      <c r="A588" s="653">
        <f>A582+1</f>
        <v>143</v>
      </c>
      <c r="B588" s="254" t="s">
        <v>41</v>
      </c>
      <c r="C588" s="373" t="s">
        <v>99</v>
      </c>
      <c r="D588" s="100">
        <f>D586+1</f>
        <v>1004</v>
      </c>
      <c r="E588" s="427" t="s">
        <v>171</v>
      </c>
      <c r="F588" s="699">
        <v>1</v>
      </c>
      <c r="G588" s="924"/>
      <c r="H588" s="922"/>
      <c r="I588" s="923"/>
      <c r="J588" s="198" t="str">
        <f>IF(LEN(F588)&gt;0,"","Belum Terisi")</f>
        <v/>
      </c>
      <c r="K588" s="31"/>
      <c r="L588" s="43"/>
      <c r="M588" s="21"/>
      <c r="N588" s="21"/>
      <c r="O588" s="21"/>
      <c r="P588" s="21"/>
      <c r="Q588" s="21"/>
      <c r="R588" s="21"/>
      <c r="S588" s="21"/>
      <c r="T588" s="21"/>
      <c r="U588" s="21"/>
      <c r="V588" s="21"/>
    </row>
    <row r="589" spans="1:22" s="2" customFormat="1" ht="30" customHeight="1" x14ac:dyDescent="0.25">
      <c r="A589" s="572"/>
      <c r="B589" s="254" t="s">
        <v>139</v>
      </c>
      <c r="C589" s="373" t="s">
        <v>1914</v>
      </c>
      <c r="D589" s="100">
        <f>D588+1</f>
        <v>1005</v>
      </c>
      <c r="E589" s="427" t="s">
        <v>171</v>
      </c>
      <c r="F589" s="693" t="s">
        <v>285</v>
      </c>
      <c r="G589" s="924"/>
      <c r="H589" s="922"/>
      <c r="I589" s="923"/>
      <c r="J589" s="198" t="str">
        <f>IF(F589="","Belum Terisi",IF(AND($F$588=3,F589="ada"),"CEK",IF(AND(OR($F$588=1,$F$588=2),COUNTIF($F$589:$F$591,"Tidak Ada")=3,$F$592="-"),"CEK","")))</f>
        <v/>
      </c>
      <c r="K589" s="31" t="str">
        <f>IF(AND(J589="CEK",$F$588=3),"Tidak Tersedia Sumber Air di Desa",IF(AND(OR($F$588=1,$F$588=2),J589="CEK"),"Tersedia Sumber Air di Desa",""))</f>
        <v/>
      </c>
      <c r="L589" s="31"/>
      <c r="M589" s="21"/>
      <c r="N589" s="21"/>
      <c r="O589" s="21"/>
      <c r="P589" s="21"/>
      <c r="Q589" s="21"/>
      <c r="R589" s="21"/>
      <c r="S589" s="21"/>
      <c r="T589" s="21"/>
      <c r="U589" s="21"/>
      <c r="V589" s="21"/>
    </row>
    <row r="590" spans="1:22" s="2" customFormat="1" ht="30" customHeight="1" x14ac:dyDescent="0.25">
      <c r="A590" s="572"/>
      <c r="B590" s="254" t="s">
        <v>251</v>
      </c>
      <c r="C590" s="373" t="s">
        <v>1953</v>
      </c>
      <c r="D590" s="100">
        <f t="shared" ref="D590:D592" si="39">D589+1</f>
        <v>1006</v>
      </c>
      <c r="E590" s="427" t="s">
        <v>171</v>
      </c>
      <c r="F590" s="694" t="s">
        <v>263</v>
      </c>
      <c r="G590" s="924"/>
      <c r="H590" s="922"/>
      <c r="I590" s="923"/>
      <c r="J590" s="198" t="str">
        <f>IF(F590="","Belum Terisi",IF(AND($F$588=3,F590="ada"),"CEK",IF(AND(OR($F$588=1,$F$588=2),COUNTIF($F$589:$F$591,"Tidak Ada")=3,$F$592="-"),"CEK","")))</f>
        <v/>
      </c>
      <c r="K590" s="31" t="str">
        <f>IF(AND(J590="CEK",$F$588=3),"Tidak Tersedia Sumber Air di Desa",IF(AND(OR($F$588=1,$F$588=2),J590="CEK"),"Tersedia Sumber Air di Desa",""))</f>
        <v/>
      </c>
      <c r="L590" s="43"/>
      <c r="M590" s="21"/>
      <c r="N590" s="21"/>
      <c r="O590" s="21"/>
      <c r="P590" s="21"/>
      <c r="Q590" s="21"/>
      <c r="R590" s="21"/>
      <c r="S590" s="21"/>
      <c r="T590" s="21"/>
      <c r="U590" s="21"/>
      <c r="V590" s="21"/>
    </row>
    <row r="591" spans="1:22" s="2" customFormat="1" ht="30" customHeight="1" x14ac:dyDescent="0.25">
      <c r="A591" s="572"/>
      <c r="B591" s="254" t="s">
        <v>255</v>
      </c>
      <c r="C591" s="373" t="s">
        <v>1987</v>
      </c>
      <c r="D591" s="100">
        <f t="shared" si="39"/>
        <v>1007</v>
      </c>
      <c r="E591" s="427" t="s">
        <v>171</v>
      </c>
      <c r="F591" s="694" t="s">
        <v>285</v>
      </c>
      <c r="G591" s="924"/>
      <c r="H591" s="922"/>
      <c r="I591" s="923"/>
      <c r="J591" s="198" t="str">
        <f>IF(F591="","Belum Terisi",IF(AND($F$588=3,F591="ada"),"CEK",IF(AND(OR($F$588=1,$F$588=2),COUNTIF($F$589:$F$591,"Tidak Ada")=3,$F$592="-"),"CEK","")))</f>
        <v/>
      </c>
      <c r="K591" s="31" t="str">
        <f>IF(AND(J591="CEK",$F$588=3),"Tidak Tersedia Sumber Air di Desa",IF(AND(OR($F$588=1,$F$588=2),J591="CEK"),"Tersedia Sumber Air di Desa",""))</f>
        <v/>
      </c>
      <c r="L591" s="43"/>
      <c r="M591" s="21"/>
      <c r="N591" s="21"/>
      <c r="O591" s="21"/>
      <c r="P591" s="21"/>
      <c r="Q591" s="21"/>
      <c r="R591" s="21"/>
      <c r="S591" s="21"/>
      <c r="T591" s="21"/>
      <c r="U591" s="21"/>
      <c r="V591" s="21"/>
    </row>
    <row r="592" spans="1:22" s="2" customFormat="1" ht="30" customHeight="1" x14ac:dyDescent="0.25">
      <c r="A592" s="573"/>
      <c r="B592" s="254" t="s">
        <v>252</v>
      </c>
      <c r="C592" s="373" t="s">
        <v>2057</v>
      </c>
      <c r="D592" s="100">
        <f t="shared" si="39"/>
        <v>1008</v>
      </c>
      <c r="E592" s="427" t="s">
        <v>174</v>
      </c>
      <c r="F592" s="697" t="s">
        <v>2823</v>
      </c>
      <c r="G592" s="924"/>
      <c r="H592" s="922"/>
      <c r="I592" s="923"/>
      <c r="J592" s="198" t="str">
        <f>IF(F592="","Belum Terisi",IF(AND($F$588=3,F592&lt;&gt;"-"),"CEK",IF(AND(OR($F$588=1,$F$588=2),COUNTIF($F$589:$F$591,"Tidak Ada")=3,$F$592="-"),"CEK","")))</f>
        <v/>
      </c>
      <c r="K592" s="31" t="str">
        <f>IF(AND(J592="CEK",$F$588=3),"Tidak Tersedia Sumber Air di Desa",IF(AND(OR($F$588=1,$F$588=2),J592="CEK"),"Tersedia Sumber Air di Desa",""))</f>
        <v/>
      </c>
      <c r="L592" s="43"/>
      <c r="M592" s="21"/>
      <c r="N592" s="21"/>
      <c r="O592" s="21"/>
      <c r="P592" s="21"/>
      <c r="Q592" s="21"/>
      <c r="R592" s="21"/>
      <c r="S592" s="21"/>
      <c r="T592" s="21"/>
      <c r="U592" s="21"/>
      <c r="V592" s="21"/>
    </row>
    <row r="593" spans="1:22" s="2" customFormat="1" ht="30" customHeight="1" x14ac:dyDescent="0.25">
      <c r="A593" s="582" t="s">
        <v>82</v>
      </c>
      <c r="B593" s="374"/>
      <c r="C593" s="374"/>
      <c r="D593" s="503"/>
      <c r="E593" s="429"/>
      <c r="F593" s="714"/>
      <c r="G593" s="924"/>
      <c r="H593" s="922"/>
      <c r="I593" s="923"/>
      <c r="J593" s="98"/>
      <c r="K593" s="31"/>
      <c r="L593" s="43"/>
      <c r="M593" s="21"/>
      <c r="N593" s="21"/>
      <c r="O593" s="21"/>
      <c r="P593" s="21"/>
      <c r="Q593" s="21"/>
      <c r="R593" s="21"/>
      <c r="S593" s="21"/>
      <c r="T593" s="21"/>
      <c r="U593" s="21"/>
      <c r="V593" s="21"/>
    </row>
    <row r="594" spans="1:22" s="2" customFormat="1" ht="30" customHeight="1" x14ac:dyDescent="0.25">
      <c r="A594" s="653">
        <f>A588+1</f>
        <v>144</v>
      </c>
      <c r="B594" s="254" t="s">
        <v>41</v>
      </c>
      <c r="C594" s="373" t="s">
        <v>1915</v>
      </c>
      <c r="D594" s="100">
        <f>D592+1</f>
        <v>1009</v>
      </c>
      <c r="E594" s="427" t="s">
        <v>171</v>
      </c>
      <c r="F594" s="693" t="s">
        <v>2813</v>
      </c>
      <c r="G594" s="924"/>
      <c r="H594" s="922"/>
      <c r="I594" s="923"/>
      <c r="J594" s="198" t="str">
        <f>IF(LEN(F594)&gt;0,"","Belum Terisi")</f>
        <v/>
      </c>
      <c r="K594" s="31"/>
      <c r="L594" s="31"/>
      <c r="M594" s="21"/>
      <c r="N594" s="847" t="s">
        <v>668</v>
      </c>
      <c r="O594" s="21"/>
      <c r="P594" s="21"/>
      <c r="Q594" s="21"/>
      <c r="R594" s="21"/>
      <c r="S594" s="21"/>
      <c r="T594" s="21"/>
      <c r="U594" s="21"/>
      <c r="V594" s="21"/>
    </row>
    <row r="595" spans="1:22" s="2" customFormat="1" ht="30" customHeight="1" x14ac:dyDescent="0.25">
      <c r="A595" s="573"/>
      <c r="B595" s="254" t="s">
        <v>139</v>
      </c>
      <c r="C595" s="373" t="s">
        <v>2058</v>
      </c>
      <c r="D595" s="100">
        <f>D594+1</f>
        <v>1010</v>
      </c>
      <c r="E595" s="427" t="s">
        <v>638</v>
      </c>
      <c r="F595" s="717">
        <v>0</v>
      </c>
      <c r="G595" s="924"/>
      <c r="H595" s="922"/>
      <c r="I595" s="923"/>
      <c r="J595" s="198" t="str">
        <f>IF(F595="","Belum Terisi",IF(AND(F594="Tidak Ada",F595&lt;&gt;0),"CEK",IF(AND(F594="Ada",F595=0),"CEK",IF(F595&gt;'INPUTAN DESA ....'!F124,"CEK",""))))</f>
        <v/>
      </c>
      <c r="K595" s="31" t="str">
        <f>IF(AND(J595="CEK",F595&lt;'INPUTAN DESA ....'!F124,OR(F594="Ada",F594="Tidak Ada")),F594&amp;" Sumber Air Minum dari Air Kemasan",IF(AND(J595="CEK",F595&gt;'INPUTAN DESA ....'!F124),"Tidak Lebih Besar dari Jumlah Rumah di Desa",""))</f>
        <v/>
      </c>
      <c r="L595" s="43"/>
      <c r="M595" s="21"/>
      <c r="N595" s="21"/>
      <c r="O595" s="21"/>
      <c r="P595" s="21"/>
      <c r="Q595" s="847" t="s">
        <v>671</v>
      </c>
      <c r="R595" s="21"/>
      <c r="S595" s="21"/>
      <c r="T595" s="21"/>
      <c r="U595" s="21"/>
      <c r="V595" s="21"/>
    </row>
    <row r="596" spans="1:22" s="2" customFormat="1" ht="40.15" customHeight="1" x14ac:dyDescent="0.25">
      <c r="A596" s="654">
        <f>A594+1</f>
        <v>145</v>
      </c>
      <c r="B596" s="374"/>
      <c r="C596" s="377" t="s">
        <v>2062</v>
      </c>
      <c r="D596" s="100">
        <f t="shared" ref="D596:D618" si="40">D595+1</f>
        <v>1011</v>
      </c>
      <c r="E596" s="427" t="s">
        <v>638</v>
      </c>
      <c r="F596" s="730">
        <v>750</v>
      </c>
      <c r="G596" s="924"/>
      <c r="H596" s="922"/>
      <c r="I596" s="923"/>
      <c r="J596" s="198" t="str">
        <f>IF(LEN(F596)&gt;0,"","Belum Terisi")</f>
        <v/>
      </c>
      <c r="K596" s="31"/>
      <c r="L596" s="43"/>
      <c r="M596" s="21"/>
      <c r="N596" s="21"/>
      <c r="O596" s="21"/>
      <c r="P596" s="21"/>
      <c r="Q596" s="847" t="s">
        <v>671</v>
      </c>
      <c r="R596" s="21"/>
      <c r="S596" s="21"/>
      <c r="T596" s="21"/>
      <c r="U596" s="21"/>
      <c r="V596" s="21"/>
    </row>
    <row r="597" spans="1:22" s="2" customFormat="1" ht="30" customHeight="1" x14ac:dyDescent="0.25">
      <c r="A597" s="653">
        <f>A596+1</f>
        <v>146</v>
      </c>
      <c r="B597" s="254" t="s">
        <v>41</v>
      </c>
      <c r="C597" s="373" t="s">
        <v>1988</v>
      </c>
      <c r="D597" s="100">
        <f t="shared" si="40"/>
        <v>1012</v>
      </c>
      <c r="E597" s="427" t="s">
        <v>171</v>
      </c>
      <c r="F597" s="693" t="s">
        <v>285</v>
      </c>
      <c r="G597" s="924"/>
      <c r="H597" s="922"/>
      <c r="I597" s="923"/>
      <c r="J597" s="198" t="str">
        <f>IF(LEN(F597)&gt;0,"","Belum Terisi")</f>
        <v/>
      </c>
      <c r="K597" s="31"/>
      <c r="L597" s="31"/>
      <c r="M597" s="21"/>
      <c r="N597" s="847" t="s">
        <v>668</v>
      </c>
      <c r="O597" s="21"/>
      <c r="P597" s="21"/>
      <c r="Q597" s="21"/>
      <c r="R597" s="21"/>
      <c r="S597" s="21"/>
      <c r="T597" s="21"/>
      <c r="U597" s="21"/>
      <c r="V597" s="21"/>
    </row>
    <row r="598" spans="1:22" s="2" customFormat="1" ht="30" customHeight="1" x14ac:dyDescent="0.25">
      <c r="A598" s="573"/>
      <c r="B598" s="254" t="s">
        <v>139</v>
      </c>
      <c r="C598" s="373" t="s">
        <v>2059</v>
      </c>
      <c r="D598" s="100">
        <f t="shared" si="40"/>
        <v>1013</v>
      </c>
      <c r="E598" s="427" t="s">
        <v>638</v>
      </c>
      <c r="F598" s="717">
        <v>50</v>
      </c>
      <c r="G598" s="924"/>
      <c r="H598" s="922"/>
      <c r="I598" s="923"/>
      <c r="J598" s="198" t="str">
        <f>IF(F598="","Belum Terisi",IF(AND(F597="Tidak Ada",F598&lt;&gt;0),"CEK",IF(AND(F597="Ada",F598=0),"CEK",IF(F598&gt;'INPUTAN DESA ....'!F124,"CEK",""))))</f>
        <v/>
      </c>
      <c r="K598" s="31" t="str">
        <f>IF(AND(J598="CEK",F598&lt;'INPUTAN DESA ....'!F124,OR(F597="Ada",F597="Tidak Ada")),F597&amp;" Sumber Air Minum dari Air Kemasan",IF(AND(J598="CEK",F598&gt;'INPUTAN DESA ....'!F124),"Tidak Lebih Besar dari Jumlah Rumah di Desa",""))</f>
        <v/>
      </c>
      <c r="L598" s="43"/>
      <c r="M598" s="21"/>
      <c r="N598" s="21"/>
      <c r="O598" s="21"/>
      <c r="P598" s="21"/>
      <c r="Q598" s="847" t="s">
        <v>671</v>
      </c>
      <c r="R598" s="21"/>
      <c r="S598" s="21"/>
      <c r="T598" s="21"/>
      <c r="U598" s="21"/>
      <c r="V598" s="21"/>
    </row>
    <row r="599" spans="1:22" s="2" customFormat="1" ht="30" customHeight="1" x14ac:dyDescent="0.25">
      <c r="A599" s="654">
        <f>A597+1</f>
        <v>147</v>
      </c>
      <c r="B599" s="374"/>
      <c r="C599" s="377" t="s">
        <v>2063</v>
      </c>
      <c r="D599" s="100">
        <f t="shared" si="40"/>
        <v>1014</v>
      </c>
      <c r="E599" s="427" t="s">
        <v>638</v>
      </c>
      <c r="F599" s="730">
        <v>5</v>
      </c>
      <c r="G599" s="924"/>
      <c r="H599" s="922"/>
      <c r="I599" s="923"/>
      <c r="J599" s="198" t="str">
        <f>IF(LEN(F599)&gt;0,"","Belum Terisi")</f>
        <v/>
      </c>
      <c r="K599" s="31"/>
      <c r="L599" s="43"/>
      <c r="M599" s="21"/>
      <c r="N599" s="21"/>
      <c r="O599" s="21"/>
      <c r="P599" s="21"/>
      <c r="Q599" s="847" t="s">
        <v>671</v>
      </c>
      <c r="R599" s="21"/>
      <c r="S599" s="21"/>
      <c r="T599" s="21"/>
      <c r="U599" s="21"/>
      <c r="V599" s="21"/>
    </row>
    <row r="600" spans="1:22" s="2" customFormat="1" ht="30" customHeight="1" x14ac:dyDescent="0.25">
      <c r="A600" s="654">
        <f>A599+1</f>
        <v>148</v>
      </c>
      <c r="B600" s="374"/>
      <c r="C600" s="377" t="s">
        <v>2064</v>
      </c>
      <c r="D600" s="100">
        <f t="shared" si="40"/>
        <v>1015</v>
      </c>
      <c r="E600" s="427" t="s">
        <v>638</v>
      </c>
      <c r="F600" s="730">
        <v>50</v>
      </c>
      <c r="G600" s="924"/>
      <c r="H600" s="922"/>
      <c r="I600" s="923"/>
      <c r="J600" s="198" t="str">
        <f>IF(LEN(F600)&gt;0,"","Belum Terisi")</f>
        <v/>
      </c>
      <c r="K600" s="31"/>
      <c r="L600" s="43"/>
      <c r="M600" s="21"/>
      <c r="N600" s="21"/>
      <c r="O600" s="21"/>
      <c r="P600" s="21"/>
      <c r="Q600" s="847" t="s">
        <v>671</v>
      </c>
      <c r="R600" s="21"/>
      <c r="S600" s="21"/>
      <c r="T600" s="21"/>
      <c r="U600" s="21"/>
      <c r="V600" s="21"/>
    </row>
    <row r="601" spans="1:22" s="2" customFormat="1" ht="30" customHeight="1" x14ac:dyDescent="0.25">
      <c r="A601" s="654">
        <f>A600+1</f>
        <v>149</v>
      </c>
      <c r="B601" s="374"/>
      <c r="C601" s="377" t="s">
        <v>2065</v>
      </c>
      <c r="D601" s="100">
        <f t="shared" si="40"/>
        <v>1016</v>
      </c>
      <c r="E601" s="427" t="s">
        <v>638</v>
      </c>
      <c r="F601" s="730">
        <v>15</v>
      </c>
      <c r="G601" s="924"/>
      <c r="H601" s="922"/>
      <c r="I601" s="923"/>
      <c r="J601" s="198" t="str">
        <f>IF(LEN(F601)&gt;0,"","Belum Terisi")</f>
        <v/>
      </c>
      <c r="K601" s="31"/>
      <c r="L601" s="43"/>
      <c r="M601" s="21"/>
      <c r="N601" s="21"/>
      <c r="O601" s="21"/>
      <c r="P601" s="21"/>
      <c r="Q601" s="847" t="s">
        <v>671</v>
      </c>
      <c r="R601" s="21"/>
      <c r="S601" s="21"/>
      <c r="T601" s="21"/>
      <c r="U601" s="21"/>
      <c r="V601" s="21"/>
    </row>
    <row r="602" spans="1:22" s="2" customFormat="1" ht="30" customHeight="1" x14ac:dyDescent="0.25">
      <c r="A602" s="653">
        <f>A601+1</f>
        <v>150</v>
      </c>
      <c r="B602" s="254" t="s">
        <v>41</v>
      </c>
      <c r="C602" s="373" t="s">
        <v>2026</v>
      </c>
      <c r="D602" s="100">
        <f t="shared" si="40"/>
        <v>1017</v>
      </c>
      <c r="E602" s="427" t="s">
        <v>171</v>
      </c>
      <c r="F602" s="693" t="s">
        <v>2813</v>
      </c>
      <c r="G602" s="924"/>
      <c r="H602" s="922"/>
      <c r="I602" s="923"/>
      <c r="J602" s="198" t="str">
        <f>IF(LEN(F602)&gt;0,"","Belum Terisi")</f>
        <v/>
      </c>
      <c r="K602" s="31"/>
      <c r="L602" s="31"/>
      <c r="M602" s="21"/>
      <c r="N602" s="847" t="s">
        <v>668</v>
      </c>
      <c r="O602" s="21"/>
      <c r="P602" s="21"/>
      <c r="Q602" s="21"/>
      <c r="R602" s="21"/>
      <c r="S602" s="21"/>
      <c r="T602" s="21"/>
      <c r="U602" s="21"/>
      <c r="V602" s="21"/>
    </row>
    <row r="603" spans="1:22" s="2" customFormat="1" ht="30" customHeight="1" x14ac:dyDescent="0.25">
      <c r="A603" s="573"/>
      <c r="B603" s="254" t="s">
        <v>139</v>
      </c>
      <c r="C603" s="373" t="s">
        <v>2060</v>
      </c>
      <c r="D603" s="100">
        <f t="shared" si="40"/>
        <v>1018</v>
      </c>
      <c r="E603" s="427" t="s">
        <v>638</v>
      </c>
      <c r="F603" s="717">
        <v>0</v>
      </c>
      <c r="G603" s="924"/>
      <c r="H603" s="922"/>
      <c r="I603" s="923"/>
      <c r="J603" s="198" t="str">
        <f>IF(F603="","Belum Terisi",IF(AND(F602="Tidak Ada",F603&lt;&gt;0),"CEK",IF(AND(F602="Ada",F603=0),"CEK",IF(F603&gt;'INPUTAN DESA ....'!F124,"CEK",""))))</f>
        <v/>
      </c>
      <c r="K603" s="31" t="str">
        <f>IF(AND(J603="CEK",F603&lt;'INPUTAN DESA ....'!F124,OR(F602="Ada",F602="Tidak Ada")),F602&amp;" Sumber Air Minum dari Air Kemasan",IF(AND(J603="CEK",F603&gt;'INPUTAN DESA ....'!F124),"Tidak Lebih Besar dari Jumlah Rumah di Desa",""))</f>
        <v/>
      </c>
      <c r="L603" s="43"/>
      <c r="M603" s="21"/>
      <c r="N603" s="21"/>
      <c r="O603" s="21"/>
      <c r="P603" s="21"/>
      <c r="Q603" s="847" t="s">
        <v>671</v>
      </c>
      <c r="R603" s="21"/>
      <c r="S603" s="21"/>
      <c r="T603" s="21"/>
      <c r="U603" s="21"/>
      <c r="V603" s="21"/>
    </row>
    <row r="604" spans="1:22" s="2" customFormat="1" ht="30" customHeight="1" x14ac:dyDescent="0.25">
      <c r="A604" s="654">
        <f>A602+1</f>
        <v>151</v>
      </c>
      <c r="B604" s="374"/>
      <c r="C604" s="377" t="s">
        <v>2066</v>
      </c>
      <c r="D604" s="100">
        <f t="shared" si="40"/>
        <v>1019</v>
      </c>
      <c r="E604" s="427" t="s">
        <v>638</v>
      </c>
      <c r="F604" s="730">
        <v>0</v>
      </c>
      <c r="G604" s="924"/>
      <c r="H604" s="922"/>
      <c r="I604" s="923"/>
      <c r="J604" s="198" t="str">
        <f>IF(LEN(F604)&gt;0,"","Belum Terisi")</f>
        <v/>
      </c>
      <c r="K604" s="31"/>
      <c r="L604" s="43"/>
      <c r="M604" s="21"/>
      <c r="N604" s="21"/>
      <c r="O604" s="21"/>
      <c r="P604" s="21"/>
      <c r="Q604" s="847" t="s">
        <v>671</v>
      </c>
      <c r="R604" s="21"/>
      <c r="S604" s="21"/>
      <c r="T604" s="21"/>
      <c r="U604" s="21"/>
      <c r="V604" s="21"/>
    </row>
    <row r="605" spans="1:22" s="2" customFormat="1" ht="30" customHeight="1" x14ac:dyDescent="0.25">
      <c r="A605" s="653">
        <f>A604+1</f>
        <v>152</v>
      </c>
      <c r="B605" s="254" t="s">
        <v>41</v>
      </c>
      <c r="C605" s="373" t="s">
        <v>2040</v>
      </c>
      <c r="D605" s="100">
        <f t="shared" si="40"/>
        <v>1020</v>
      </c>
      <c r="E605" s="427" t="s">
        <v>171</v>
      </c>
      <c r="F605" s="693" t="s">
        <v>2813</v>
      </c>
      <c r="G605" s="924"/>
      <c r="H605" s="922"/>
      <c r="I605" s="923"/>
      <c r="J605" s="198" t="str">
        <f>IF(LEN(F605)&gt;0,"","Belum Terisi")</f>
        <v/>
      </c>
      <c r="K605" s="31"/>
      <c r="L605" s="31"/>
      <c r="M605" s="21"/>
      <c r="N605" s="847" t="s">
        <v>668</v>
      </c>
      <c r="O605" s="21"/>
      <c r="P605" s="21"/>
      <c r="Q605" s="21"/>
      <c r="R605" s="21"/>
      <c r="S605" s="21"/>
      <c r="T605" s="21"/>
      <c r="U605" s="21"/>
      <c r="V605" s="21"/>
    </row>
    <row r="606" spans="1:22" s="2" customFormat="1" ht="30" customHeight="1" x14ac:dyDescent="0.25">
      <c r="A606" s="571"/>
      <c r="B606" s="254" t="s">
        <v>139</v>
      </c>
      <c r="C606" s="373" t="s">
        <v>2067</v>
      </c>
      <c r="D606" s="100">
        <f t="shared" si="40"/>
        <v>1021</v>
      </c>
      <c r="E606" s="427" t="s">
        <v>174</v>
      </c>
      <c r="F606" s="694" t="s">
        <v>240</v>
      </c>
      <c r="G606" s="924"/>
      <c r="H606" s="922"/>
      <c r="I606" s="923"/>
      <c r="J606" s="198" t="str">
        <f>IF(LEN(F606)&gt;0,"","Belum Terisi")</f>
        <v/>
      </c>
      <c r="K606" s="31"/>
      <c r="L606" s="43"/>
      <c r="M606" s="21"/>
      <c r="N606" s="21"/>
      <c r="O606" s="21"/>
      <c r="P606" s="21"/>
      <c r="Q606" s="21"/>
      <c r="R606" s="21"/>
      <c r="S606" s="21"/>
      <c r="T606" s="21"/>
      <c r="U606" s="21"/>
      <c r="V606" s="21"/>
    </row>
    <row r="607" spans="1:22" s="2" customFormat="1" ht="30" customHeight="1" x14ac:dyDescent="0.25">
      <c r="A607" s="573"/>
      <c r="B607" s="254" t="s">
        <v>251</v>
      </c>
      <c r="C607" s="373" t="s">
        <v>2061</v>
      </c>
      <c r="D607" s="100">
        <f t="shared" si="40"/>
        <v>1022</v>
      </c>
      <c r="E607" s="427" t="s">
        <v>638</v>
      </c>
      <c r="F607" s="717">
        <v>0</v>
      </c>
      <c r="G607" s="924"/>
      <c r="H607" s="922"/>
      <c r="I607" s="923"/>
      <c r="J607" s="198" t="str">
        <f>IF(F607="","Belum Terisi",IF(AND(F605="Tidak Ada",F607&lt;&gt;0),"CEK",IF(AND(F605="Ada",F607=0),"CEK",IF(F607&gt;'INPUTAN DESA ....'!F124,"CEK",""))))</f>
        <v/>
      </c>
      <c r="K607" s="31" t="str">
        <f>IF(AND(J607="CEK",F607&lt;'INPUTAN DESA ....'!F124,OR(F605="Ada",F605="Tidak Ada")),F605&amp;" Sumber Air Minum dari Air Kemasan",IF(AND(J607="CEK",F607&gt;'INPUTAN DESA ....'!F124),"Tidak Lebih Besar dari Jumlah Rumah di Desa",""))</f>
        <v/>
      </c>
      <c r="L607" s="43"/>
      <c r="M607" s="21"/>
      <c r="N607" s="21"/>
      <c r="O607" s="21"/>
      <c r="P607" s="21"/>
      <c r="Q607" s="847" t="s">
        <v>671</v>
      </c>
      <c r="R607" s="21"/>
      <c r="S607" s="21"/>
      <c r="T607" s="21"/>
      <c r="U607" s="21"/>
      <c r="V607" s="21"/>
    </row>
    <row r="608" spans="1:22" s="2" customFormat="1" ht="30" customHeight="1" x14ac:dyDescent="0.25">
      <c r="A608" s="594">
        <f>A605+1</f>
        <v>153</v>
      </c>
      <c r="B608" s="372"/>
      <c r="C608" s="373" t="s">
        <v>83</v>
      </c>
      <c r="D608" s="100">
        <f t="shared" si="40"/>
        <v>1023</v>
      </c>
      <c r="E608" s="427" t="s">
        <v>171</v>
      </c>
      <c r="F608" s="699" t="s">
        <v>2824</v>
      </c>
      <c r="G608" s="924"/>
      <c r="H608" s="922"/>
      <c r="I608" s="923"/>
      <c r="J608" s="198" t="str">
        <f t="shared" ref="J608:J618" si="41">IF(LEN(F608)&gt;0,"","Belum Terisi")</f>
        <v/>
      </c>
      <c r="K608" s="31"/>
      <c r="L608" s="43"/>
      <c r="M608" s="21"/>
      <c r="N608" s="847" t="s">
        <v>668</v>
      </c>
      <c r="O608" s="21"/>
      <c r="P608" s="21"/>
      <c r="Q608" s="21"/>
      <c r="R608" s="21"/>
      <c r="S608" s="21"/>
      <c r="T608" s="21"/>
      <c r="U608" s="21"/>
      <c r="V608" s="21"/>
    </row>
    <row r="609" spans="1:22" s="2" customFormat="1" ht="30" customHeight="1" x14ac:dyDescent="0.25">
      <c r="A609" s="653">
        <f>A608+1</f>
        <v>154</v>
      </c>
      <c r="B609" s="254" t="s">
        <v>41</v>
      </c>
      <c r="C609" s="373" t="s">
        <v>1916</v>
      </c>
      <c r="D609" s="100">
        <f t="shared" si="40"/>
        <v>1024</v>
      </c>
      <c r="E609" s="427" t="s">
        <v>171</v>
      </c>
      <c r="F609" s="699" t="s">
        <v>285</v>
      </c>
      <c r="G609" s="924"/>
      <c r="H609" s="922"/>
      <c r="I609" s="923"/>
      <c r="J609" s="198" t="str">
        <f t="shared" si="41"/>
        <v/>
      </c>
      <c r="K609" s="31"/>
      <c r="L609" s="43"/>
      <c r="M609" s="21"/>
      <c r="N609" s="21" t="s">
        <v>668</v>
      </c>
      <c r="O609" s="21"/>
      <c r="P609" s="21"/>
      <c r="Q609" s="21"/>
      <c r="R609" s="21"/>
      <c r="S609" s="21"/>
      <c r="T609" s="21"/>
      <c r="U609" s="21"/>
      <c r="V609" s="21"/>
    </row>
    <row r="610" spans="1:22" s="2" customFormat="1" ht="30" customHeight="1" x14ac:dyDescent="0.25">
      <c r="A610" s="572"/>
      <c r="B610" s="254" t="s">
        <v>139</v>
      </c>
      <c r="C610" s="373" t="s">
        <v>1954</v>
      </c>
      <c r="D610" s="100">
        <f t="shared" si="40"/>
        <v>1025</v>
      </c>
      <c r="E610" s="427" t="s">
        <v>171</v>
      </c>
      <c r="F610" s="699" t="s">
        <v>285</v>
      </c>
      <c r="G610" s="924"/>
      <c r="H610" s="922"/>
      <c r="I610" s="923"/>
      <c r="J610" s="198" t="str">
        <f t="shared" si="41"/>
        <v/>
      </c>
      <c r="K610" s="31"/>
      <c r="L610" s="43"/>
      <c r="M610" s="21"/>
      <c r="N610" s="21" t="s">
        <v>668</v>
      </c>
      <c r="O610" s="21"/>
      <c r="P610" s="21"/>
      <c r="Q610" s="21"/>
      <c r="R610" s="21"/>
      <c r="S610" s="21"/>
      <c r="T610" s="21"/>
      <c r="U610" s="21"/>
      <c r="V610" s="21"/>
    </row>
    <row r="611" spans="1:22" s="2" customFormat="1" ht="30" customHeight="1" x14ac:dyDescent="0.25">
      <c r="A611" s="572"/>
      <c r="B611" s="254" t="s">
        <v>251</v>
      </c>
      <c r="C611" s="373" t="s">
        <v>1989</v>
      </c>
      <c r="D611" s="100">
        <f t="shared" si="40"/>
        <v>1026</v>
      </c>
      <c r="E611" s="427" t="s">
        <v>171</v>
      </c>
      <c r="F611" s="699" t="s">
        <v>285</v>
      </c>
      <c r="G611" s="924"/>
      <c r="H611" s="922"/>
      <c r="I611" s="923"/>
      <c r="J611" s="198" t="str">
        <f t="shared" si="41"/>
        <v/>
      </c>
      <c r="K611" s="31"/>
      <c r="L611" s="31"/>
      <c r="M611" s="21"/>
      <c r="N611" s="21" t="s">
        <v>668</v>
      </c>
      <c r="O611" s="21"/>
      <c r="P611" s="21"/>
      <c r="Q611" s="21"/>
      <c r="R611" s="21"/>
      <c r="S611" s="21"/>
      <c r="T611" s="21"/>
      <c r="U611" s="21"/>
      <c r="V611" s="21"/>
    </row>
    <row r="612" spans="1:22" s="2" customFormat="1" ht="30" customHeight="1" x14ac:dyDescent="0.25">
      <c r="A612" s="572"/>
      <c r="B612" s="254" t="s">
        <v>255</v>
      </c>
      <c r="C612" s="373" t="s">
        <v>2002</v>
      </c>
      <c r="D612" s="100">
        <f t="shared" si="40"/>
        <v>1027</v>
      </c>
      <c r="E612" s="427" t="s">
        <v>171</v>
      </c>
      <c r="F612" s="699" t="s">
        <v>285</v>
      </c>
      <c r="G612" s="924"/>
      <c r="H612" s="922"/>
      <c r="I612" s="923"/>
      <c r="J612" s="198" t="str">
        <f t="shared" si="41"/>
        <v/>
      </c>
      <c r="K612" s="31"/>
      <c r="L612" s="43"/>
      <c r="M612" s="21"/>
      <c r="N612" s="21" t="s">
        <v>668</v>
      </c>
      <c r="O612" s="21"/>
      <c r="P612" s="21"/>
      <c r="Q612" s="21"/>
      <c r="R612" s="21"/>
      <c r="S612" s="21"/>
      <c r="T612" s="21"/>
      <c r="U612" s="21"/>
      <c r="V612" s="21"/>
    </row>
    <row r="613" spans="1:22" s="2" customFormat="1" ht="30" customHeight="1" x14ac:dyDescent="0.25">
      <c r="A613" s="572"/>
      <c r="B613" s="254" t="s">
        <v>252</v>
      </c>
      <c r="C613" s="373" t="s">
        <v>2015</v>
      </c>
      <c r="D613" s="100">
        <f t="shared" si="40"/>
        <v>1028</v>
      </c>
      <c r="E613" s="427" t="s">
        <v>171</v>
      </c>
      <c r="F613" s="699" t="s">
        <v>285</v>
      </c>
      <c r="G613" s="924"/>
      <c r="H613" s="922"/>
      <c r="I613" s="923"/>
      <c r="J613" s="198" t="str">
        <f t="shared" si="41"/>
        <v/>
      </c>
      <c r="K613" s="31"/>
      <c r="L613" s="43"/>
      <c r="M613" s="21"/>
      <c r="N613" s="21" t="s">
        <v>668</v>
      </c>
      <c r="O613" s="21"/>
      <c r="P613" s="21"/>
      <c r="Q613" s="21"/>
      <c r="R613" s="21"/>
      <c r="S613" s="21"/>
      <c r="T613" s="21"/>
      <c r="U613" s="21"/>
      <c r="V613" s="21"/>
    </row>
    <row r="614" spans="1:22" s="2" customFormat="1" ht="30" customHeight="1" x14ac:dyDescent="0.25">
      <c r="A614" s="572"/>
      <c r="B614" s="254" t="s">
        <v>253</v>
      </c>
      <c r="C614" s="373" t="s">
        <v>2020</v>
      </c>
      <c r="D614" s="100">
        <f t="shared" si="40"/>
        <v>1029</v>
      </c>
      <c r="E614" s="427" t="s">
        <v>171</v>
      </c>
      <c r="F614" s="699" t="s">
        <v>285</v>
      </c>
      <c r="G614" s="924"/>
      <c r="H614" s="922"/>
      <c r="I614" s="923"/>
      <c r="J614" s="198" t="str">
        <f t="shared" si="41"/>
        <v/>
      </c>
      <c r="K614" s="31"/>
      <c r="L614" s="43"/>
      <c r="M614" s="21"/>
      <c r="N614" s="21" t="s">
        <v>668</v>
      </c>
      <c r="O614" s="21"/>
      <c r="P614" s="21"/>
      <c r="Q614" s="21"/>
      <c r="R614" s="21"/>
      <c r="S614" s="21"/>
      <c r="T614" s="21"/>
      <c r="U614" s="21"/>
      <c r="V614" s="21"/>
    </row>
    <row r="615" spans="1:22" s="2" customFormat="1" ht="30" customHeight="1" x14ac:dyDescent="0.25">
      <c r="A615" s="572"/>
      <c r="B615" s="254" t="s">
        <v>254</v>
      </c>
      <c r="C615" s="373" t="s">
        <v>2027</v>
      </c>
      <c r="D615" s="100">
        <f t="shared" si="40"/>
        <v>1030</v>
      </c>
      <c r="E615" s="427" t="s">
        <v>171</v>
      </c>
      <c r="F615" s="699" t="s">
        <v>263</v>
      </c>
      <c r="G615" s="924"/>
      <c r="H615" s="922" t="s">
        <v>545</v>
      </c>
      <c r="I615" s="923"/>
      <c r="J615" s="198" t="str">
        <f t="shared" si="41"/>
        <v/>
      </c>
      <c r="K615" s="31"/>
      <c r="L615" s="31"/>
      <c r="M615" s="21"/>
      <c r="N615" s="21" t="s">
        <v>668</v>
      </c>
      <c r="O615" s="21"/>
      <c r="P615" s="21"/>
      <c r="Q615" s="21"/>
      <c r="R615" s="21"/>
      <c r="S615" s="21"/>
      <c r="T615" s="21"/>
      <c r="U615" s="21"/>
      <c r="V615" s="21"/>
    </row>
    <row r="616" spans="1:22" s="2" customFormat="1" ht="30" customHeight="1" x14ac:dyDescent="0.25">
      <c r="A616" s="572"/>
      <c r="B616" s="254" t="s">
        <v>256</v>
      </c>
      <c r="C616" s="373" t="s">
        <v>2035</v>
      </c>
      <c r="D616" s="100">
        <f t="shared" si="40"/>
        <v>1031</v>
      </c>
      <c r="E616" s="427" t="s">
        <v>171</v>
      </c>
      <c r="F616" s="693" t="s">
        <v>263</v>
      </c>
      <c r="G616" s="924"/>
      <c r="H616" s="922" t="s">
        <v>546</v>
      </c>
      <c r="I616" s="923"/>
      <c r="J616" s="198" t="str">
        <f t="shared" si="41"/>
        <v/>
      </c>
      <c r="K616" s="31"/>
      <c r="L616" s="43"/>
      <c r="M616" s="21"/>
      <c r="N616" s="21" t="s">
        <v>668</v>
      </c>
      <c r="O616" s="21"/>
      <c r="P616" s="21"/>
      <c r="Q616" s="21"/>
      <c r="R616" s="21"/>
      <c r="S616" s="21"/>
      <c r="T616" s="21"/>
      <c r="U616" s="21"/>
      <c r="V616" s="21"/>
    </row>
    <row r="617" spans="1:22" s="2" customFormat="1" ht="30" customHeight="1" x14ac:dyDescent="0.25">
      <c r="A617" s="573"/>
      <c r="B617" s="254" t="s">
        <v>257</v>
      </c>
      <c r="C617" s="373" t="s">
        <v>2068</v>
      </c>
      <c r="D617" s="100">
        <f t="shared" si="40"/>
        <v>1032</v>
      </c>
      <c r="E617" s="427" t="s">
        <v>174</v>
      </c>
      <c r="F617" s="697" t="s">
        <v>240</v>
      </c>
      <c r="G617" s="924"/>
      <c r="H617" s="922" t="s">
        <v>547</v>
      </c>
      <c r="I617" s="923"/>
      <c r="J617" s="198" t="str">
        <f t="shared" si="41"/>
        <v/>
      </c>
      <c r="K617" s="31"/>
      <c r="L617" s="43"/>
      <c r="M617" s="21"/>
      <c r="N617" s="21" t="s">
        <v>668</v>
      </c>
      <c r="O617" s="21"/>
      <c r="P617" s="21"/>
      <c r="Q617" s="21"/>
      <c r="R617" s="21"/>
      <c r="S617" s="21"/>
      <c r="T617" s="21"/>
      <c r="U617" s="21"/>
      <c r="V617" s="21"/>
    </row>
    <row r="618" spans="1:22" s="2" customFormat="1" ht="30" customHeight="1" x14ac:dyDescent="0.25">
      <c r="A618" s="654">
        <f>A609+1</f>
        <v>155</v>
      </c>
      <c r="B618" s="374"/>
      <c r="C618" s="373" t="s">
        <v>784</v>
      </c>
      <c r="D618" s="100">
        <f t="shared" si="40"/>
        <v>1033</v>
      </c>
      <c r="E618" s="427" t="s">
        <v>171</v>
      </c>
      <c r="F618" s="699" t="s">
        <v>263</v>
      </c>
      <c r="G618" s="924"/>
      <c r="H618" s="922" t="s">
        <v>548</v>
      </c>
      <c r="I618" s="923"/>
      <c r="J618" s="198" t="str">
        <f t="shared" si="41"/>
        <v/>
      </c>
      <c r="K618" s="31"/>
      <c r="L618" s="43"/>
      <c r="M618" s="21"/>
      <c r="N618" s="21" t="s">
        <v>668</v>
      </c>
      <c r="O618" s="21"/>
      <c r="P618" s="21"/>
      <c r="Q618" s="21"/>
      <c r="R618" s="21"/>
      <c r="S618" s="21"/>
      <c r="T618" s="21"/>
      <c r="U618" s="21"/>
      <c r="V618" s="21"/>
    </row>
    <row r="619" spans="1:22" s="2" customFormat="1" ht="30" customHeight="1" x14ac:dyDescent="0.25">
      <c r="A619" s="582" t="s">
        <v>2069</v>
      </c>
      <c r="B619" s="372"/>
      <c r="C619" s="372"/>
      <c r="D619" s="39"/>
      <c r="E619" s="39"/>
      <c r="F619" s="777"/>
      <c r="G619" s="924"/>
      <c r="H619" s="922"/>
      <c r="I619" s="923"/>
      <c r="J619" s="198"/>
      <c r="K619" s="31"/>
      <c r="L619" s="43"/>
      <c r="M619" s="21"/>
      <c r="N619" s="21"/>
      <c r="O619" s="21"/>
      <c r="P619" s="21"/>
      <c r="Q619" s="21"/>
      <c r="R619" s="21"/>
      <c r="S619" s="21"/>
      <c r="T619" s="21"/>
      <c r="U619" s="21"/>
      <c r="V619" s="21"/>
    </row>
    <row r="620" spans="1:22" s="2" customFormat="1" ht="30" customHeight="1" x14ac:dyDescent="0.25">
      <c r="A620" s="653">
        <f>A618+1</f>
        <v>156</v>
      </c>
      <c r="B620" s="254" t="s">
        <v>41</v>
      </c>
      <c r="C620" s="373" t="s">
        <v>920</v>
      </c>
      <c r="D620" s="512">
        <f>D618+1</f>
        <v>1034</v>
      </c>
      <c r="E620" s="427" t="s">
        <v>638</v>
      </c>
      <c r="F620" s="718">
        <v>0</v>
      </c>
      <c r="G620" s="924"/>
      <c r="H620" s="922"/>
      <c r="I620" s="947"/>
      <c r="J620" s="198" t="str">
        <f>IF(LEN(F620)&gt;0,"","Belum Terisi")</f>
        <v/>
      </c>
      <c r="K620" s="31"/>
      <c r="L620" s="43"/>
      <c r="M620" s="21"/>
      <c r="N620" s="21"/>
      <c r="O620" s="21"/>
      <c r="P620" s="21"/>
      <c r="Q620" s="21"/>
      <c r="R620" s="21"/>
      <c r="S620" s="21"/>
      <c r="T620" s="21"/>
      <c r="U620" s="21"/>
      <c r="V620" s="21"/>
    </row>
    <row r="621" spans="1:22" s="2" customFormat="1" ht="40.15" customHeight="1" x14ac:dyDescent="0.25">
      <c r="A621" s="573"/>
      <c r="B621" s="254" t="s">
        <v>139</v>
      </c>
      <c r="C621" s="373" t="s">
        <v>1955</v>
      </c>
      <c r="D621" s="512">
        <f t="shared" ref="D621:D634" si="42">D620+1</f>
        <v>1035</v>
      </c>
      <c r="E621" s="28" t="s">
        <v>638</v>
      </c>
      <c r="F621" s="842"/>
      <c r="G621" s="924"/>
      <c r="H621" s="922" t="s">
        <v>542</v>
      </c>
      <c r="I621" s="923"/>
      <c r="J621" s="198" t="str">
        <f>IF(F621="","Belum Terisi",IF(SUM('INPUTAN DESA ....'!$F$553,'INPUTAN DESA ....'!$F$554,$F$621)='INPUTAN DESA ....'!$F$124,"","CEK"))</f>
        <v>Belum Terisi</v>
      </c>
      <c r="K621" s="31" t="str">
        <f>IF(J621="CEK","Jumlah Rumah Terakses Listrik PLN (Kuesioner ID)+ Non PLN ((Kuesioner ID) + Tidak Terfasilitasi Listrik = Total Rumah di Desa (Kuesioner ID)","")</f>
        <v/>
      </c>
      <c r="L621" s="43"/>
      <c r="M621" s="21"/>
      <c r="N621" s="21"/>
      <c r="O621" s="21"/>
      <c r="P621" s="21"/>
      <c r="Q621" s="21"/>
      <c r="R621" s="21"/>
      <c r="S621" s="21"/>
      <c r="T621" s="21"/>
      <c r="U621" s="21"/>
      <c r="V621" s="21"/>
    </row>
    <row r="622" spans="1:22" s="2" customFormat="1" ht="30" customHeight="1" x14ac:dyDescent="0.25">
      <c r="A622" s="653">
        <f>A620+1</f>
        <v>157</v>
      </c>
      <c r="B622" s="254" t="s">
        <v>41</v>
      </c>
      <c r="C622" s="373" t="s">
        <v>2070</v>
      </c>
      <c r="D622" s="512">
        <f t="shared" si="42"/>
        <v>1036</v>
      </c>
      <c r="E622" s="468" t="s">
        <v>171</v>
      </c>
      <c r="F622" s="735" t="s">
        <v>263</v>
      </c>
      <c r="G622" s="941"/>
      <c r="H622" s="928"/>
      <c r="I622" s="923"/>
      <c r="J622" s="198" t="str">
        <f t="shared" ref="J622:J634" si="43">IF(LEN(F622)&gt;0,"","Belum Terisi")</f>
        <v/>
      </c>
      <c r="K622" s="31"/>
      <c r="L622" s="43"/>
      <c r="M622" s="21"/>
      <c r="N622" s="21"/>
      <c r="O622" s="21"/>
      <c r="P622" s="21"/>
      <c r="Q622" s="21"/>
      <c r="R622" s="21"/>
      <c r="S622" s="21"/>
      <c r="T622" s="21"/>
      <c r="U622" s="21"/>
      <c r="V622" s="21"/>
    </row>
    <row r="623" spans="1:22" s="2" customFormat="1" ht="30" customHeight="1" x14ac:dyDescent="0.25">
      <c r="A623" s="572"/>
      <c r="B623" s="254" t="s">
        <v>139</v>
      </c>
      <c r="C623" s="373" t="s">
        <v>1917</v>
      </c>
      <c r="D623" s="512">
        <f t="shared" si="42"/>
        <v>1037</v>
      </c>
      <c r="E623" s="513" t="s">
        <v>638</v>
      </c>
      <c r="F623" s="778">
        <v>0</v>
      </c>
      <c r="G623" s="941"/>
      <c r="H623" s="928"/>
      <c r="I623" s="923"/>
      <c r="J623" s="198" t="str">
        <f t="shared" si="43"/>
        <v/>
      </c>
      <c r="K623" s="31"/>
      <c r="L623" s="43"/>
      <c r="M623" s="21"/>
      <c r="N623" s="21"/>
      <c r="O623" s="21"/>
      <c r="P623" s="21"/>
      <c r="Q623" s="21"/>
      <c r="R623" s="21"/>
      <c r="S623" s="21"/>
      <c r="T623" s="21"/>
      <c r="U623" s="21"/>
      <c r="V623" s="21"/>
    </row>
    <row r="624" spans="1:22" s="2" customFormat="1" ht="30" customHeight="1" x14ac:dyDescent="0.25">
      <c r="A624" s="572"/>
      <c r="B624" s="254" t="s">
        <v>251</v>
      </c>
      <c r="C624" s="373" t="s">
        <v>1918</v>
      </c>
      <c r="D624" s="512">
        <f t="shared" si="42"/>
        <v>1038</v>
      </c>
      <c r="E624" s="513" t="s">
        <v>638</v>
      </c>
      <c r="F624" s="778">
        <v>0</v>
      </c>
      <c r="G624" s="924"/>
      <c r="H624" s="928" t="s">
        <v>706</v>
      </c>
      <c r="I624" s="923"/>
      <c r="J624" s="198" t="str">
        <f t="shared" si="43"/>
        <v/>
      </c>
      <c r="K624" s="31"/>
      <c r="L624" s="43"/>
      <c r="M624" s="21"/>
      <c r="N624" s="21"/>
      <c r="O624" s="21"/>
      <c r="P624" s="21"/>
      <c r="Q624" s="21"/>
      <c r="R624" s="21"/>
      <c r="S624" s="21"/>
      <c r="T624" s="21"/>
      <c r="U624" s="21"/>
      <c r="V624" s="21"/>
    </row>
    <row r="625" spans="1:22" s="2" customFormat="1" ht="30" customHeight="1" x14ac:dyDescent="0.25">
      <c r="A625" s="572"/>
      <c r="B625" s="254" t="s">
        <v>255</v>
      </c>
      <c r="C625" s="373" t="s">
        <v>1956</v>
      </c>
      <c r="D625" s="512">
        <f t="shared" si="42"/>
        <v>1039</v>
      </c>
      <c r="E625" s="513" t="s">
        <v>638</v>
      </c>
      <c r="F625" s="778">
        <v>0</v>
      </c>
      <c r="G625" s="924"/>
      <c r="H625" s="928" t="s">
        <v>706</v>
      </c>
      <c r="I625" s="923"/>
      <c r="J625" s="198" t="str">
        <f t="shared" si="43"/>
        <v/>
      </c>
      <c r="K625" s="31"/>
      <c r="L625" s="31"/>
      <c r="M625" s="21"/>
      <c r="N625" s="21"/>
      <c r="O625" s="21"/>
      <c r="P625" s="21"/>
      <c r="Q625" s="21"/>
      <c r="R625" s="21"/>
      <c r="S625" s="21"/>
      <c r="T625" s="21"/>
      <c r="U625" s="21"/>
      <c r="V625" s="21"/>
    </row>
    <row r="626" spans="1:22" s="2" customFormat="1" ht="30" customHeight="1" x14ac:dyDescent="0.25">
      <c r="A626" s="572"/>
      <c r="B626" s="254" t="s">
        <v>252</v>
      </c>
      <c r="C626" s="373" t="s">
        <v>1990</v>
      </c>
      <c r="D626" s="512">
        <f t="shared" si="42"/>
        <v>1040</v>
      </c>
      <c r="E626" s="513" t="s">
        <v>638</v>
      </c>
      <c r="F626" s="778">
        <v>0</v>
      </c>
      <c r="G626" s="924"/>
      <c r="H626" s="928" t="s">
        <v>706</v>
      </c>
      <c r="I626" s="923"/>
      <c r="J626" s="198" t="str">
        <f t="shared" si="43"/>
        <v/>
      </c>
      <c r="K626" s="31"/>
      <c r="L626" s="43"/>
      <c r="M626" s="21"/>
      <c r="N626" s="21"/>
      <c r="O626" s="21"/>
      <c r="P626" s="21"/>
      <c r="Q626" s="21"/>
      <c r="R626" s="21"/>
      <c r="S626" s="21"/>
      <c r="T626" s="21"/>
      <c r="U626" s="21"/>
      <c r="V626" s="21"/>
    </row>
    <row r="627" spans="1:22" s="2" customFormat="1" ht="30" customHeight="1" x14ac:dyDescent="0.25">
      <c r="A627" s="572"/>
      <c r="B627" s="254" t="s">
        <v>253</v>
      </c>
      <c r="C627" s="373" t="s">
        <v>2003</v>
      </c>
      <c r="D627" s="512">
        <f t="shared" si="42"/>
        <v>1041</v>
      </c>
      <c r="E627" s="513" t="s">
        <v>638</v>
      </c>
      <c r="F627" s="778">
        <v>0</v>
      </c>
      <c r="G627" s="924"/>
      <c r="H627" s="928" t="s">
        <v>706</v>
      </c>
      <c r="I627" s="923"/>
      <c r="J627" s="198" t="str">
        <f t="shared" si="43"/>
        <v/>
      </c>
      <c r="K627" s="31"/>
      <c r="L627" s="43"/>
      <c r="M627" s="21"/>
      <c r="N627" s="21"/>
      <c r="O627" s="21"/>
      <c r="P627" s="21"/>
      <c r="Q627" s="21"/>
      <c r="R627" s="21"/>
      <c r="S627" s="21"/>
      <c r="T627" s="21"/>
      <c r="U627" s="21"/>
      <c r="V627" s="21"/>
    </row>
    <row r="628" spans="1:22" s="2" customFormat="1" ht="30" customHeight="1" x14ac:dyDescent="0.25">
      <c r="A628" s="572"/>
      <c r="B628" s="254" t="s">
        <v>254</v>
      </c>
      <c r="C628" s="373" t="s">
        <v>2016</v>
      </c>
      <c r="D628" s="512">
        <f t="shared" si="42"/>
        <v>1042</v>
      </c>
      <c r="E628" s="513" t="s">
        <v>638</v>
      </c>
      <c r="F628" s="778">
        <v>0</v>
      </c>
      <c r="G628" s="924"/>
      <c r="H628" s="928" t="s">
        <v>706</v>
      </c>
      <c r="I628" s="923"/>
      <c r="J628" s="198" t="str">
        <f t="shared" si="43"/>
        <v/>
      </c>
      <c r="K628" s="31"/>
      <c r="L628" s="43"/>
      <c r="M628" s="21"/>
      <c r="N628" s="21"/>
      <c r="O628" s="21"/>
      <c r="P628" s="21"/>
      <c r="Q628" s="21"/>
      <c r="R628" s="21"/>
      <c r="S628" s="21"/>
      <c r="T628" s="21"/>
      <c r="U628" s="21"/>
      <c r="V628" s="21"/>
    </row>
    <row r="629" spans="1:22" s="2" customFormat="1" ht="30" customHeight="1" x14ac:dyDescent="0.25">
      <c r="A629" s="572"/>
      <c r="B629" s="254" t="s">
        <v>256</v>
      </c>
      <c r="C629" s="373" t="s">
        <v>2021</v>
      </c>
      <c r="D629" s="512">
        <f t="shared" si="42"/>
        <v>1043</v>
      </c>
      <c r="E629" s="513" t="s">
        <v>638</v>
      </c>
      <c r="F629" s="778">
        <v>0</v>
      </c>
      <c r="G629" s="924"/>
      <c r="H629" s="928" t="s">
        <v>706</v>
      </c>
      <c r="I629" s="923"/>
      <c r="J629" s="198" t="str">
        <f t="shared" si="43"/>
        <v/>
      </c>
      <c r="K629" s="31"/>
      <c r="L629" s="31"/>
      <c r="M629" s="21"/>
      <c r="N629" s="21"/>
      <c r="O629" s="21"/>
      <c r="P629" s="21"/>
      <c r="Q629" s="21"/>
      <c r="R629" s="21"/>
      <c r="S629" s="21"/>
      <c r="T629" s="21"/>
      <c r="U629" s="21"/>
      <c r="V629" s="21"/>
    </row>
    <row r="630" spans="1:22" s="2" customFormat="1" ht="30" customHeight="1" x14ac:dyDescent="0.25">
      <c r="A630" s="572"/>
      <c r="B630" s="254" t="s">
        <v>257</v>
      </c>
      <c r="C630" s="373" t="s">
        <v>2028</v>
      </c>
      <c r="D630" s="512">
        <f t="shared" si="42"/>
        <v>1044</v>
      </c>
      <c r="E630" s="427" t="s">
        <v>638</v>
      </c>
      <c r="F630" s="778">
        <v>0</v>
      </c>
      <c r="G630" s="924"/>
      <c r="H630" s="928" t="s">
        <v>706</v>
      </c>
      <c r="I630" s="923"/>
      <c r="J630" s="198" t="str">
        <f t="shared" si="43"/>
        <v/>
      </c>
      <c r="K630" s="31"/>
      <c r="L630" s="43"/>
      <c r="M630" s="21"/>
      <c r="N630" s="21"/>
      <c r="O630" s="21"/>
      <c r="P630" s="21"/>
      <c r="Q630" s="21"/>
      <c r="R630" s="21"/>
      <c r="S630" s="21"/>
      <c r="T630" s="21"/>
      <c r="U630" s="21"/>
      <c r="V630" s="21"/>
    </row>
    <row r="631" spans="1:22" s="2" customFormat="1" ht="30" customHeight="1" x14ac:dyDescent="0.25">
      <c r="A631" s="572"/>
      <c r="B631" s="254" t="s">
        <v>259</v>
      </c>
      <c r="C631" s="373" t="s">
        <v>2029</v>
      </c>
      <c r="D631" s="512">
        <f t="shared" si="42"/>
        <v>1045</v>
      </c>
      <c r="E631" s="427" t="s">
        <v>638</v>
      </c>
      <c r="F631" s="778">
        <v>0</v>
      </c>
      <c r="G631" s="924"/>
      <c r="H631" s="922"/>
      <c r="I631" s="923"/>
      <c r="J631" s="198" t="str">
        <f t="shared" si="43"/>
        <v/>
      </c>
      <c r="K631" s="31"/>
      <c r="L631" s="43"/>
      <c r="M631" s="21"/>
      <c r="N631" s="21"/>
      <c r="O631" s="21"/>
      <c r="P631" s="21"/>
      <c r="Q631" s="21"/>
      <c r="R631" s="21"/>
      <c r="S631" s="21"/>
      <c r="T631" s="21"/>
      <c r="U631" s="21"/>
      <c r="V631" s="21"/>
    </row>
    <row r="632" spans="1:22" s="2" customFormat="1" ht="30" customHeight="1" x14ac:dyDescent="0.25">
      <c r="A632" s="572"/>
      <c r="B632" s="254" t="s">
        <v>260</v>
      </c>
      <c r="C632" s="373" t="s">
        <v>2030</v>
      </c>
      <c r="D632" s="512">
        <f t="shared" si="42"/>
        <v>1046</v>
      </c>
      <c r="E632" s="427" t="s">
        <v>638</v>
      </c>
      <c r="F632" s="778">
        <v>0</v>
      </c>
      <c r="G632" s="924"/>
      <c r="H632" s="923" t="s">
        <v>167</v>
      </c>
      <c r="I632" s="923"/>
      <c r="J632" s="198" t="str">
        <f t="shared" si="43"/>
        <v/>
      </c>
      <c r="K632" s="31"/>
      <c r="L632" s="43"/>
      <c r="M632" s="21"/>
      <c r="N632" s="21"/>
      <c r="O632" s="21"/>
      <c r="P632" s="21"/>
      <c r="Q632" s="21"/>
      <c r="R632" s="21"/>
      <c r="S632" s="21"/>
      <c r="T632" s="21"/>
      <c r="U632" s="21"/>
      <c r="V632" s="21"/>
    </row>
    <row r="633" spans="1:22" s="2" customFormat="1" ht="30" customHeight="1" x14ac:dyDescent="0.25">
      <c r="A633" s="572"/>
      <c r="B633" s="254" t="s">
        <v>575</v>
      </c>
      <c r="C633" s="373" t="s">
        <v>2036</v>
      </c>
      <c r="D633" s="512">
        <f t="shared" si="42"/>
        <v>1047</v>
      </c>
      <c r="E633" s="30" t="s">
        <v>261</v>
      </c>
      <c r="F633" s="726">
        <f>COUNTIF('INPUTAN DESA ....'!F556:F564,"Ada")</f>
        <v>0</v>
      </c>
      <c r="G633" s="927"/>
      <c r="H633" s="922" t="s">
        <v>837</v>
      </c>
      <c r="I633" s="923"/>
      <c r="J633" s="198" t="str">
        <f t="shared" si="43"/>
        <v/>
      </c>
      <c r="K633" s="31"/>
      <c r="L633" s="43"/>
      <c r="M633" s="21"/>
      <c r="N633" s="21"/>
      <c r="O633" s="21"/>
      <c r="P633" s="21"/>
      <c r="Q633" s="21"/>
      <c r="R633" s="21"/>
      <c r="S633" s="21"/>
      <c r="T633" s="21"/>
      <c r="U633" s="21"/>
      <c r="V633" s="21"/>
    </row>
    <row r="634" spans="1:22" s="2" customFormat="1" ht="30" customHeight="1" x14ac:dyDescent="0.25">
      <c r="A634" s="573"/>
      <c r="B634" s="254" t="s">
        <v>576</v>
      </c>
      <c r="C634" s="373" t="s">
        <v>2037</v>
      </c>
      <c r="D634" s="512">
        <f t="shared" si="42"/>
        <v>1048</v>
      </c>
      <c r="E634" s="30" t="s">
        <v>261</v>
      </c>
      <c r="F634" s="779">
        <f>SUM(F632,F631,F630,F629,F628,F627,F626,F625,F624,F623)</f>
        <v>0</v>
      </c>
      <c r="G634" s="927"/>
      <c r="H634" s="922" t="s">
        <v>838</v>
      </c>
      <c r="I634" s="923"/>
      <c r="J634" s="198" t="str">
        <f t="shared" si="43"/>
        <v/>
      </c>
      <c r="K634" s="31"/>
      <c r="L634" s="43"/>
      <c r="M634" s="21"/>
      <c r="N634" s="21"/>
      <c r="O634" s="21"/>
      <c r="P634" s="21"/>
      <c r="Q634" s="21"/>
      <c r="R634" s="21"/>
      <c r="S634" s="21"/>
      <c r="T634" s="21"/>
      <c r="U634" s="21"/>
      <c r="V634" s="21"/>
    </row>
    <row r="635" spans="1:22" s="2" customFormat="1" ht="30" customHeight="1" x14ac:dyDescent="0.25">
      <c r="A635" s="582" t="s">
        <v>2071</v>
      </c>
      <c r="B635" s="372"/>
      <c r="C635" s="372"/>
      <c r="D635" s="39"/>
      <c r="E635" s="39"/>
      <c r="F635" s="777"/>
      <c r="G635" s="927"/>
      <c r="H635" s="922"/>
      <c r="I635" s="923"/>
      <c r="J635" s="198"/>
      <c r="K635" s="31"/>
      <c r="L635" s="43"/>
      <c r="M635" s="21"/>
      <c r="N635" s="21"/>
      <c r="O635" s="21"/>
      <c r="P635" s="21"/>
      <c r="Q635" s="21"/>
      <c r="R635" s="21"/>
      <c r="S635" s="21"/>
      <c r="T635" s="21"/>
      <c r="U635" s="21"/>
      <c r="V635" s="21"/>
    </row>
    <row r="636" spans="1:22" s="2" customFormat="1" ht="30" customHeight="1" x14ac:dyDescent="0.25">
      <c r="A636" s="653">
        <f>A622+1</f>
        <v>158</v>
      </c>
      <c r="B636" s="254" t="s">
        <v>41</v>
      </c>
      <c r="C636" s="373" t="s">
        <v>637</v>
      </c>
      <c r="D636" s="512">
        <f>D634+1</f>
        <v>1049</v>
      </c>
      <c r="E636" s="463" t="s">
        <v>638</v>
      </c>
      <c r="F636" s="718">
        <v>500</v>
      </c>
      <c r="G636" s="927"/>
      <c r="H636" s="957" t="s">
        <v>705</v>
      </c>
      <c r="I636" s="923"/>
      <c r="J636" s="198" t="str">
        <f>IF(LEN(F636)&gt;0,"","Belum Terisi")</f>
        <v/>
      </c>
      <c r="K636" s="31"/>
      <c r="L636" s="43"/>
      <c r="M636" s="21"/>
      <c r="N636" s="21"/>
      <c r="O636" s="21"/>
      <c r="P636" s="21"/>
      <c r="Q636" s="21"/>
      <c r="R636" s="21"/>
      <c r="S636" s="21"/>
      <c r="T636" s="21"/>
      <c r="U636" s="21"/>
      <c r="V636" s="21" t="s">
        <v>636</v>
      </c>
    </row>
    <row r="637" spans="1:22" s="2" customFormat="1" ht="30" customHeight="1" x14ac:dyDescent="0.25">
      <c r="A637" s="573"/>
      <c r="B637" s="254" t="s">
        <v>139</v>
      </c>
      <c r="C637" s="373" t="s">
        <v>707</v>
      </c>
      <c r="D637" s="512">
        <f t="shared" ref="D637:D679" si="44">D636+1</f>
        <v>1050</v>
      </c>
      <c r="E637" s="514" t="s">
        <v>261</v>
      </c>
      <c r="F637" s="780">
        <f>IFERROR(F636/'INPUTAN DESA ....'!F124,0)</f>
        <v>0.64850843060959795</v>
      </c>
      <c r="G637" s="927"/>
      <c r="H637" s="925"/>
      <c r="I637" s="923"/>
      <c r="J637" s="198" t="str">
        <f>IF(LEN(F637)&gt;0,"","Belum Terisi")</f>
        <v/>
      </c>
      <c r="K637" s="31"/>
      <c r="L637" s="43"/>
      <c r="M637" s="21"/>
      <c r="N637" s="21"/>
      <c r="O637" s="21"/>
      <c r="P637" s="21"/>
      <c r="Q637" s="21"/>
      <c r="R637" s="21"/>
      <c r="S637" s="21"/>
      <c r="T637" s="21"/>
      <c r="U637" s="21"/>
      <c r="V637" s="21"/>
    </row>
    <row r="638" spans="1:22" s="2" customFormat="1" ht="30" customHeight="1" x14ac:dyDescent="0.25">
      <c r="A638" s="653">
        <f>A636+1</f>
        <v>159</v>
      </c>
      <c r="B638" s="254" t="s">
        <v>41</v>
      </c>
      <c r="C638" s="373" t="s">
        <v>2072</v>
      </c>
      <c r="D638" s="512">
        <f t="shared" si="44"/>
        <v>1051</v>
      </c>
      <c r="E638" s="427" t="s">
        <v>171</v>
      </c>
      <c r="F638" s="693" t="s">
        <v>547</v>
      </c>
      <c r="G638" s="924"/>
      <c r="H638" s="922"/>
      <c r="I638" s="923"/>
      <c r="J638" s="198" t="str">
        <f>IF(F638="","Belum Terisi",IF(AND('INPUTAN DESA ....'!F572="Tidak Ada",F638&lt;&gt;"Tidak Ada"),"CEK",IF(AND('INPUTAN DESA ....'!F572&lt;&gt;"Tidak Ada",F638="Tidak Ada"),"CEK","")))</f>
        <v/>
      </c>
      <c r="K638" s="31" t="str">
        <f>IF(J638="CEK",'INPUTAN DESA ....'!F572&amp;" Operator/ Provider Telkomsel di Desa","")</f>
        <v/>
      </c>
      <c r="L638" s="31"/>
      <c r="M638" s="21"/>
      <c r="N638" s="847" t="s">
        <v>668</v>
      </c>
      <c r="O638" s="21"/>
      <c r="P638" s="21"/>
      <c r="Q638" s="21"/>
      <c r="R638" s="21"/>
      <c r="S638" s="21"/>
      <c r="T638" s="21"/>
      <c r="U638" s="21"/>
      <c r="V638" s="21"/>
    </row>
    <row r="639" spans="1:22" s="2" customFormat="1" ht="30" customHeight="1" x14ac:dyDescent="0.25">
      <c r="A639" s="572"/>
      <c r="B639" s="254" t="s">
        <v>139</v>
      </c>
      <c r="C639" s="373" t="s">
        <v>2073</v>
      </c>
      <c r="D639" s="512">
        <f t="shared" si="44"/>
        <v>1052</v>
      </c>
      <c r="E639" s="427" t="s">
        <v>171</v>
      </c>
      <c r="F639" s="694" t="s">
        <v>547</v>
      </c>
      <c r="G639" s="924"/>
      <c r="H639" s="925"/>
      <c r="I639" s="923"/>
      <c r="J639" s="198" t="str">
        <f>IF(F639="","Belum Terisi",IF(AND('INPUTAN DESA ....'!F573="Tidak Ada",F639&lt;&gt;"Tidak Ada"),"CEK",IF(AND('INPUTAN DESA ....'!F573&lt;&gt;"Tidak Ada",F639="Tidak Ada"),"CEK","")))</f>
        <v/>
      </c>
      <c r="K639" s="31" t="str">
        <f>IF(J639="CEK",'INPUTAN DESA ....'!F573&amp;" Operator/ Provider Telkomsel di Desa","")</f>
        <v/>
      </c>
      <c r="L639" s="43"/>
      <c r="M639" s="21"/>
      <c r="N639" s="21" t="s">
        <v>668</v>
      </c>
      <c r="O639" s="21"/>
      <c r="P639" s="21"/>
      <c r="Q639" s="21"/>
      <c r="R639" s="21"/>
      <c r="S639" s="21"/>
      <c r="T639" s="21"/>
      <c r="U639" s="21"/>
      <c r="V639" s="21"/>
    </row>
    <row r="640" spans="1:22" s="2" customFormat="1" ht="30" customHeight="1" x14ac:dyDescent="0.25">
      <c r="A640" s="572"/>
      <c r="B640" s="254" t="s">
        <v>251</v>
      </c>
      <c r="C640" s="373" t="s">
        <v>2074</v>
      </c>
      <c r="D640" s="512">
        <f t="shared" si="44"/>
        <v>1053</v>
      </c>
      <c r="E640" s="427" t="s">
        <v>171</v>
      </c>
      <c r="F640" s="694" t="s">
        <v>547</v>
      </c>
      <c r="G640" s="924"/>
      <c r="H640" s="925"/>
      <c r="I640" s="923"/>
      <c r="J640" s="198" t="str">
        <f>IF(F640="","Belum Terisi",IF(AND('INPUTAN DESA ....'!F574="Tidak Ada",F640&lt;&gt;"Tidak Ada"),"CEK",IF(AND('INPUTAN DESA ....'!F574&lt;&gt;"Tidak Ada",F640="Tidak Ada"),"CEK","")))</f>
        <v/>
      </c>
      <c r="K640" s="31" t="str">
        <f>IF(J640="CEK",'INPUTAN DESA ....'!F574&amp;" Operator/ Provider Telkomsel di Desa","")</f>
        <v/>
      </c>
      <c r="L640" s="31"/>
      <c r="M640" s="21"/>
      <c r="N640" s="21" t="s">
        <v>668</v>
      </c>
      <c r="O640" s="21"/>
      <c r="P640" s="21"/>
      <c r="Q640" s="21"/>
      <c r="R640" s="21"/>
      <c r="S640" s="21"/>
      <c r="T640" s="21"/>
      <c r="U640" s="21"/>
      <c r="V640" s="21"/>
    </row>
    <row r="641" spans="1:22" s="2" customFormat="1" ht="30" customHeight="1" x14ac:dyDescent="0.25">
      <c r="A641" s="572"/>
      <c r="B641" s="254" t="s">
        <v>255</v>
      </c>
      <c r="C641" s="373" t="s">
        <v>2075</v>
      </c>
      <c r="D641" s="512">
        <f t="shared" si="44"/>
        <v>1054</v>
      </c>
      <c r="E641" s="427" t="s">
        <v>171</v>
      </c>
      <c r="F641" s="694" t="s">
        <v>547</v>
      </c>
      <c r="G641" s="924"/>
      <c r="H641" s="922"/>
      <c r="I641" s="923"/>
      <c r="J641" s="198" t="str">
        <f>IF(F641="","Belum Terisi",IF(AND('INPUTAN DESA ....'!F575="Tidak Ada",F641&lt;&gt;"Tidak Ada"),"CEK",IF(AND('INPUTAN DESA ....'!F575&lt;&gt;"Tidak Ada",F641="Tidak Ada"),"CEK","")))</f>
        <v/>
      </c>
      <c r="K641" s="31" t="str">
        <f>IF(J641="CEK",'INPUTAN DESA ....'!F575&amp;" Operator/ Provider Telkomsel di Desa","")</f>
        <v/>
      </c>
      <c r="L641" s="43"/>
      <c r="M641" s="21"/>
      <c r="N641" s="21" t="s">
        <v>668</v>
      </c>
      <c r="O641" s="21"/>
      <c r="P641" s="21"/>
      <c r="Q641" s="21"/>
      <c r="R641" s="21"/>
      <c r="S641" s="21"/>
      <c r="T641" s="21"/>
      <c r="U641" s="21"/>
      <c r="V641" s="21"/>
    </row>
    <row r="642" spans="1:22" s="2" customFormat="1" ht="30" customHeight="1" x14ac:dyDescent="0.25">
      <c r="A642" s="573"/>
      <c r="B642" s="254" t="s">
        <v>252</v>
      </c>
      <c r="C642" s="373" t="s">
        <v>2076</v>
      </c>
      <c r="D642" s="512">
        <f t="shared" si="44"/>
        <v>1055</v>
      </c>
      <c r="E642" s="427" t="s">
        <v>171</v>
      </c>
      <c r="F642" s="697" t="s">
        <v>263</v>
      </c>
      <c r="G642" s="924"/>
      <c r="H642" s="925"/>
      <c r="I642" s="923"/>
      <c r="J642" s="198" t="str">
        <f>IF(F642="","Belum Terisi",IF(AND('INPUTAN DESA ....'!F576="Tidak Ada",F642&lt;&gt;"Tidak Ada"),"CEK",IF(AND('INPUTAN DESA ....'!F576&lt;&gt;"Tidak Ada",F642="Tidak Ada"),"CEK","")))</f>
        <v/>
      </c>
      <c r="K642" s="31" t="str">
        <f>IF(J642="CEK",'INPUTAN DESA ....'!F576&amp;" Operator/ Provider Telkomsel di Desa","")</f>
        <v/>
      </c>
      <c r="L642" s="31"/>
      <c r="M642" s="21"/>
      <c r="N642" s="21" t="s">
        <v>668</v>
      </c>
      <c r="O642" s="21"/>
      <c r="P642" s="21"/>
      <c r="Q642" s="21"/>
      <c r="R642" s="21"/>
      <c r="S642" s="21"/>
      <c r="T642" s="21"/>
      <c r="U642" s="21"/>
      <c r="V642" s="21"/>
    </row>
    <row r="643" spans="1:22" s="2" customFormat="1" ht="30" customHeight="1" x14ac:dyDescent="0.25">
      <c r="A643" s="653">
        <f>A638+1</f>
        <v>160</v>
      </c>
      <c r="B643" s="254" t="s">
        <v>41</v>
      </c>
      <c r="C643" s="373" t="s">
        <v>2077</v>
      </c>
      <c r="D643" s="512">
        <f t="shared" si="44"/>
        <v>1056</v>
      </c>
      <c r="E643" s="427" t="s">
        <v>171</v>
      </c>
      <c r="F643" s="693" t="s">
        <v>263</v>
      </c>
      <c r="G643" s="924"/>
      <c r="H643" s="925"/>
      <c r="I643" s="923"/>
      <c r="J643" s="198" t="str">
        <f>IF(LEN(F643)&gt;0,"","Belum Terisi")</f>
        <v/>
      </c>
      <c r="K643" s="31"/>
      <c r="L643" s="43"/>
      <c r="M643" s="21"/>
      <c r="N643" s="21"/>
      <c r="O643" s="21"/>
      <c r="P643" s="21"/>
      <c r="Q643" s="21"/>
      <c r="R643" s="21"/>
      <c r="S643" s="21"/>
      <c r="T643" s="21"/>
      <c r="U643" s="21"/>
      <c r="V643" s="21"/>
    </row>
    <row r="644" spans="1:22" s="2" customFormat="1" ht="30" customHeight="1" x14ac:dyDescent="0.25">
      <c r="A644" s="572"/>
      <c r="B644" s="254" t="s">
        <v>139</v>
      </c>
      <c r="C644" s="373" t="s">
        <v>2078</v>
      </c>
      <c r="D644" s="512">
        <f t="shared" si="44"/>
        <v>1057</v>
      </c>
      <c r="E644" s="427" t="s">
        <v>174</v>
      </c>
      <c r="F644" s="694" t="s">
        <v>240</v>
      </c>
      <c r="G644" s="924"/>
      <c r="H644" s="959" t="s">
        <v>831</v>
      </c>
      <c r="I644" s="923"/>
      <c r="J644" s="198" t="str">
        <f>IF(LEN(F644)&gt;0,"","Belum Terisi")</f>
        <v/>
      </c>
      <c r="K644" s="31"/>
      <c r="L644" s="43"/>
      <c r="M644" s="21"/>
      <c r="N644" s="21"/>
      <c r="O644" s="21"/>
      <c r="P644" s="21"/>
      <c r="Q644" s="21"/>
      <c r="R644" s="21"/>
      <c r="S644" s="21"/>
      <c r="T644" s="21"/>
      <c r="U644" s="21"/>
      <c r="V644" s="21"/>
    </row>
    <row r="645" spans="1:22" s="2" customFormat="1" ht="30" customHeight="1" x14ac:dyDescent="0.25">
      <c r="A645" s="573"/>
      <c r="B645" s="254" t="s">
        <v>251</v>
      </c>
      <c r="C645" s="373" t="s">
        <v>2079</v>
      </c>
      <c r="D645" s="512">
        <f t="shared" si="44"/>
        <v>1058</v>
      </c>
      <c r="E645" s="427" t="s">
        <v>171</v>
      </c>
      <c r="F645" s="697" t="s">
        <v>263</v>
      </c>
      <c r="G645" s="924"/>
      <c r="H645" s="922" t="s">
        <v>843</v>
      </c>
      <c r="I645" s="923"/>
      <c r="J645" s="198" t="str">
        <f>IF(F645="","Belum Terisi",IF(AND(F643="Tidak Ada",F645&lt;&gt;"Tidak Ada"),"CEK",IF(AND(F643="Ada",F645="Tidak Ada"),"CEK","")))</f>
        <v/>
      </c>
      <c r="K645" s="31" t="str">
        <f>IF(J645="CEK",F643&amp;" Operator/ Provider Seluler Lainnya di Desa","")</f>
        <v/>
      </c>
      <c r="L645" s="43"/>
      <c r="M645" s="21"/>
      <c r="N645" s="21"/>
      <c r="O645" s="21"/>
      <c r="P645" s="21"/>
      <c r="Q645" s="21"/>
      <c r="R645" s="21"/>
      <c r="S645" s="21"/>
      <c r="T645" s="21"/>
      <c r="U645" s="21"/>
      <c r="V645" s="21"/>
    </row>
    <row r="646" spans="1:22" s="2" customFormat="1" ht="30" customHeight="1" x14ac:dyDescent="0.25">
      <c r="A646" s="654">
        <f>A643+1</f>
        <v>161</v>
      </c>
      <c r="B646" s="374"/>
      <c r="C646" s="373" t="s">
        <v>1957</v>
      </c>
      <c r="D646" s="512">
        <f t="shared" si="44"/>
        <v>1059</v>
      </c>
      <c r="E646" s="463" t="s">
        <v>171</v>
      </c>
      <c r="F646" s="764" t="s">
        <v>285</v>
      </c>
      <c r="G646" s="927"/>
      <c r="H646" s="922" t="s">
        <v>844</v>
      </c>
      <c r="I646" s="923"/>
      <c r="J646" s="198" t="str">
        <f>IF(LEN(F646)&gt;0,"","Belum Terisi")</f>
        <v/>
      </c>
      <c r="K646" s="31"/>
      <c r="L646" s="43"/>
      <c r="M646" s="21"/>
      <c r="N646" s="21"/>
      <c r="O646" s="21"/>
      <c r="P646" s="21"/>
      <c r="Q646" s="21"/>
      <c r="R646" s="21"/>
      <c r="S646" s="21"/>
      <c r="T646" s="21"/>
      <c r="U646" s="21"/>
      <c r="V646" s="21" t="s">
        <v>636</v>
      </c>
    </row>
    <row r="647" spans="1:22" s="2" customFormat="1" ht="30" customHeight="1" x14ac:dyDescent="0.25">
      <c r="A647" s="653">
        <f>A646+1</f>
        <v>162</v>
      </c>
      <c r="B647" s="254" t="s">
        <v>41</v>
      </c>
      <c r="C647" s="373" t="s">
        <v>1919</v>
      </c>
      <c r="D647" s="512">
        <f t="shared" si="44"/>
        <v>1060</v>
      </c>
      <c r="E647" s="427" t="s">
        <v>171</v>
      </c>
      <c r="F647" s="693" t="s">
        <v>285</v>
      </c>
      <c r="G647" s="924"/>
      <c r="H647" s="922" t="s">
        <v>845</v>
      </c>
      <c r="I647" s="923"/>
      <c r="J647" s="198" t="str">
        <f>IF(LEN(F647)&gt;0,"","Belum Terisi")</f>
        <v/>
      </c>
      <c r="K647" s="31"/>
      <c r="L647" s="43"/>
      <c r="M647" s="21"/>
      <c r="N647" s="847" t="s">
        <v>668</v>
      </c>
      <c r="O647" s="21"/>
      <c r="P647" s="21"/>
      <c r="Q647" s="21"/>
      <c r="R647" s="21"/>
      <c r="S647" s="21"/>
      <c r="T647" s="21"/>
      <c r="U647" s="21"/>
      <c r="V647" s="21"/>
    </row>
    <row r="648" spans="1:22" s="2" customFormat="1" ht="30" customHeight="1" x14ac:dyDescent="0.25">
      <c r="A648" s="572"/>
      <c r="B648" s="254" t="s">
        <v>139</v>
      </c>
      <c r="C648" s="373" t="s">
        <v>1958</v>
      </c>
      <c r="D648" s="512">
        <f t="shared" si="44"/>
        <v>1061</v>
      </c>
      <c r="E648" s="427" t="s">
        <v>171</v>
      </c>
      <c r="F648" s="694" t="s">
        <v>547</v>
      </c>
      <c r="G648" s="924"/>
      <c r="H648" s="922"/>
      <c r="I648" s="923"/>
      <c r="J648" s="198" t="str">
        <f>IF(F648="","Belum Terisi",IF(AND($F$647="Ada",F648="Tidak Ada"),"CEK",IF(AND($F$647="Tidak Ada",F648&lt;&gt;"Tidak Ada"),"CEK","")))</f>
        <v/>
      </c>
      <c r="K648" s="31" t="str">
        <f>IF(J648="CEK",$F$647&amp;" Fasilitas Internet di Kantor Desa","")</f>
        <v/>
      </c>
      <c r="L648" s="43"/>
      <c r="M648" s="21"/>
      <c r="N648" s="847" t="s">
        <v>668</v>
      </c>
      <c r="O648" s="21"/>
      <c r="P648" s="21"/>
      <c r="Q648" s="21"/>
      <c r="R648" s="21"/>
      <c r="S648" s="21"/>
      <c r="T648" s="21"/>
      <c r="U648" s="21"/>
      <c r="V648" s="21"/>
    </row>
    <row r="649" spans="1:22" s="2" customFormat="1" ht="30" customHeight="1" x14ac:dyDescent="0.25">
      <c r="A649" s="572"/>
      <c r="B649" s="254" t="s">
        <v>251</v>
      </c>
      <c r="C649" s="373" t="s">
        <v>1991</v>
      </c>
      <c r="D649" s="512">
        <f t="shared" si="44"/>
        <v>1062</v>
      </c>
      <c r="E649" s="427" t="s">
        <v>171</v>
      </c>
      <c r="F649" s="694" t="s">
        <v>556</v>
      </c>
      <c r="G649" s="924"/>
      <c r="H649" s="922" t="s">
        <v>549</v>
      </c>
      <c r="I649" s="923"/>
      <c r="J649" s="198" t="str">
        <f>IF(F649="","Belum Terisi",IF(AND($F$647="Ada",F649="Tidak Ada"),"CEK",IF(AND($F$647="Tidak Ada",F649&lt;&gt;"Tidak Ada"),"CEK","")))</f>
        <v/>
      </c>
      <c r="K649" s="31" t="str">
        <f>IF(J649="CEK",$F$647&amp;" Fasilitas Internet di Kantor Desa","")</f>
        <v/>
      </c>
      <c r="L649" s="43"/>
      <c r="M649" s="21"/>
      <c r="N649" s="847" t="s">
        <v>668</v>
      </c>
      <c r="O649" s="21"/>
      <c r="P649" s="21"/>
      <c r="Q649" s="21"/>
      <c r="R649" s="21"/>
      <c r="S649" s="21"/>
      <c r="T649" s="21"/>
      <c r="U649" s="21"/>
      <c r="V649" s="21"/>
    </row>
    <row r="650" spans="1:22" s="2" customFormat="1" ht="30" customHeight="1" x14ac:dyDescent="0.25">
      <c r="A650" s="573"/>
      <c r="B650" s="254" t="s">
        <v>255</v>
      </c>
      <c r="C650" s="373" t="s">
        <v>2004</v>
      </c>
      <c r="D650" s="512">
        <f t="shared" si="44"/>
        <v>1063</v>
      </c>
      <c r="E650" s="427" t="s">
        <v>174</v>
      </c>
      <c r="F650" s="697" t="s">
        <v>2825</v>
      </c>
      <c r="G650" s="924"/>
      <c r="H650" s="922" t="s">
        <v>555</v>
      </c>
      <c r="I650" s="923"/>
      <c r="J650" s="198" t="str">
        <f>IF(F650="","Belum Terisi",IF(AND(F649="Lainnya",F650="-"),"CEK",""))</f>
        <v/>
      </c>
      <c r="K650" s="31" t="str">
        <f>IF(J650="CEK","Sebutkan Layanan Jaringan Internet Lainnya di Kantor Desa","")</f>
        <v/>
      </c>
      <c r="L650" s="31"/>
      <c r="M650" s="21"/>
      <c r="N650" s="21"/>
      <c r="O650" s="21"/>
      <c r="P650" s="21"/>
      <c r="Q650" s="21"/>
      <c r="R650" s="21"/>
      <c r="S650" s="21"/>
      <c r="T650" s="21"/>
      <c r="U650" s="21"/>
      <c r="V650" s="21"/>
    </row>
    <row r="651" spans="1:22" s="2" customFormat="1" ht="30" customHeight="1" x14ac:dyDescent="0.25">
      <c r="A651" s="653">
        <f>A647+1</f>
        <v>163</v>
      </c>
      <c r="B651" s="254" t="s">
        <v>41</v>
      </c>
      <c r="C651" s="373" t="s">
        <v>639</v>
      </c>
      <c r="D651" s="512">
        <f t="shared" si="44"/>
        <v>1064</v>
      </c>
      <c r="E651" s="463" t="s">
        <v>171</v>
      </c>
      <c r="F651" s="781" t="s">
        <v>263</v>
      </c>
      <c r="G651" s="927"/>
      <c r="H651" s="922" t="s">
        <v>840</v>
      </c>
      <c r="I651" s="923"/>
      <c r="J651" s="198" t="str">
        <f>IF(LEN(F651)&gt;0,"","Belum Terisi")</f>
        <v/>
      </c>
      <c r="K651" s="31"/>
      <c r="L651" s="31"/>
      <c r="M651" s="21"/>
      <c r="N651" s="21"/>
      <c r="O651" s="21" t="s">
        <v>740</v>
      </c>
      <c r="P651" s="21"/>
      <c r="Q651" s="21"/>
      <c r="R651" s="21"/>
      <c r="S651" s="21"/>
      <c r="T651" s="21"/>
      <c r="U651" s="21"/>
      <c r="V651" s="21" t="s">
        <v>636</v>
      </c>
    </row>
    <row r="652" spans="1:22" s="2" customFormat="1" ht="30" customHeight="1" x14ac:dyDescent="0.25">
      <c r="A652" s="573"/>
      <c r="B652" s="254" t="s">
        <v>139</v>
      </c>
      <c r="C652" s="373" t="s">
        <v>761</v>
      </c>
      <c r="D652" s="512">
        <f t="shared" si="44"/>
        <v>1065</v>
      </c>
      <c r="E652" s="463" t="s">
        <v>171</v>
      </c>
      <c r="F652" s="782" t="s">
        <v>263</v>
      </c>
      <c r="G652" s="927"/>
      <c r="H652" s="922" t="s">
        <v>553</v>
      </c>
      <c r="I652" s="923"/>
      <c r="J652" s="198" t="str">
        <f>IF(F652="","Belum Terisi",IF(AND(F651="Tidak Ada",F652&lt;&gt;"Tidak Ada"),"CEK",IF(AND(F651="Ada",F652="Tidak Ada"),"CEK","")))</f>
        <v/>
      </c>
      <c r="K652" s="31" t="str">
        <f>IF(J652="CEK",F651&amp;" Layanan Akses Point Internet Gratis di DESA","")</f>
        <v/>
      </c>
      <c r="L652" s="31"/>
      <c r="M652" s="21"/>
      <c r="N652" s="21"/>
      <c r="O652" s="21" t="s">
        <v>740</v>
      </c>
      <c r="P652" s="21"/>
      <c r="Q652" s="21"/>
      <c r="R652" s="21"/>
      <c r="S652" s="21"/>
      <c r="T652" s="21"/>
      <c r="U652" s="21"/>
      <c r="V652" s="21"/>
    </row>
    <row r="653" spans="1:22" s="2" customFormat="1" ht="30" customHeight="1" x14ac:dyDescent="0.25">
      <c r="A653" s="653">
        <f>A651+1</f>
        <v>164</v>
      </c>
      <c r="B653" s="254" t="s">
        <v>41</v>
      </c>
      <c r="C653" s="373" t="s">
        <v>743</v>
      </c>
      <c r="D653" s="512">
        <f t="shared" si="44"/>
        <v>1066</v>
      </c>
      <c r="E653" s="427" t="s">
        <v>171</v>
      </c>
      <c r="F653" s="693" t="s">
        <v>263</v>
      </c>
      <c r="G653" s="924"/>
      <c r="H653" s="923" t="s">
        <v>839</v>
      </c>
      <c r="I653" s="923"/>
      <c r="J653" s="198" t="str">
        <f>IF(LEN(F653)&gt;0,"","Belum Terisi")</f>
        <v/>
      </c>
      <c r="K653" s="31"/>
      <c r="L653" s="43"/>
      <c r="M653" s="21"/>
      <c r="N653" s="21"/>
      <c r="O653" s="21" t="s">
        <v>740</v>
      </c>
      <c r="P653" s="21"/>
      <c r="Q653" s="21"/>
      <c r="R653" s="21"/>
      <c r="S653" s="21"/>
      <c r="T653" s="21"/>
      <c r="U653" s="21"/>
      <c r="V653" s="21"/>
    </row>
    <row r="654" spans="1:22" s="2" customFormat="1" ht="30" customHeight="1" x14ac:dyDescent="0.25">
      <c r="A654" s="572"/>
      <c r="B654" s="254" t="s">
        <v>139</v>
      </c>
      <c r="C654" s="373" t="s">
        <v>739</v>
      </c>
      <c r="D654" s="512">
        <f t="shared" si="44"/>
        <v>1067</v>
      </c>
      <c r="E654" s="427" t="s">
        <v>171</v>
      </c>
      <c r="F654" s="694" t="s">
        <v>847</v>
      </c>
      <c r="G654" s="924"/>
      <c r="H654" s="922" t="s">
        <v>552</v>
      </c>
      <c r="I654" s="923"/>
      <c r="J654" s="198" t="str">
        <f>IF(F654="","Belum Terisi",IF(AND(F653="Tidak Ada",F654="Sudah"),"CEK",""))</f>
        <v/>
      </c>
      <c r="K654" s="31" t="str">
        <f>IF(J654="CEK",F653&amp;" Sosialisasi Terkait Pemanfaatan TIK/ Internet Sehat di Desa","")</f>
        <v/>
      </c>
      <c r="L654" s="43"/>
      <c r="M654" s="21"/>
      <c r="N654" s="21"/>
      <c r="O654" s="21" t="s">
        <v>740</v>
      </c>
      <c r="P654" s="21"/>
      <c r="Q654" s="21"/>
      <c r="R654" s="21"/>
      <c r="S654" s="21"/>
      <c r="T654" s="21"/>
      <c r="U654" s="21"/>
      <c r="V654" s="21"/>
    </row>
    <row r="655" spans="1:22" s="2" customFormat="1" ht="40.15" customHeight="1" x14ac:dyDescent="0.25">
      <c r="A655" s="573"/>
      <c r="B655" s="254" t="s">
        <v>251</v>
      </c>
      <c r="C655" s="373" t="s">
        <v>741</v>
      </c>
      <c r="D655" s="512">
        <f t="shared" si="44"/>
        <v>1068</v>
      </c>
      <c r="E655" s="427" t="s">
        <v>171</v>
      </c>
      <c r="F655" s="697" t="s">
        <v>263</v>
      </c>
      <c r="G655" s="924"/>
      <c r="H655" s="922" t="s">
        <v>554</v>
      </c>
      <c r="I655" s="923"/>
      <c r="J655" s="198" t="str">
        <f>IF(F655="","Belum Terisi",IF(AND(F654="Belum",F655&lt;&gt;"Tidak Ada"),"CEK",IF(AND(F654="Sudah",F655="Tidak Ada"),"CEK","")))</f>
        <v/>
      </c>
      <c r="K655" s="31" t="str">
        <f>IF(J655="CEK",F654&amp;" Sosilisasi kepada Penduduk Terikait Pemanfaatan TIK/ Internet Sehat di Desa","")</f>
        <v/>
      </c>
      <c r="L655" s="43"/>
      <c r="M655" s="21"/>
      <c r="N655" s="21"/>
      <c r="O655" s="21" t="s">
        <v>740</v>
      </c>
      <c r="P655" s="21"/>
      <c r="Q655" s="21"/>
      <c r="R655" s="21"/>
      <c r="S655" s="21"/>
      <c r="T655" s="21"/>
      <c r="U655" s="21"/>
      <c r="V655" s="21"/>
    </row>
    <row r="656" spans="1:22" s="2" customFormat="1" ht="30" customHeight="1" x14ac:dyDescent="0.25">
      <c r="A656" s="654">
        <f>A653+1</f>
        <v>165</v>
      </c>
      <c r="B656" s="374"/>
      <c r="C656" s="373" t="s">
        <v>742</v>
      </c>
      <c r="D656" s="512">
        <f t="shared" si="44"/>
        <v>1069</v>
      </c>
      <c r="E656" s="427" t="s">
        <v>171</v>
      </c>
      <c r="F656" s="699" t="s">
        <v>285</v>
      </c>
      <c r="G656" s="924"/>
      <c r="H656" s="922" t="s">
        <v>841</v>
      </c>
      <c r="I656" s="923"/>
      <c r="J656" s="198" t="str">
        <f t="shared" ref="J656:J672" si="45">IF(LEN(F656)&gt;0,"","Belum Terisi")</f>
        <v/>
      </c>
      <c r="K656" s="31"/>
      <c r="L656" s="43"/>
      <c r="M656" s="21"/>
      <c r="N656" s="21"/>
      <c r="O656" s="21" t="s">
        <v>740</v>
      </c>
      <c r="P656" s="21"/>
      <c r="Q656" s="21"/>
      <c r="R656" s="21"/>
      <c r="S656" s="21"/>
      <c r="T656" s="21"/>
      <c r="U656" s="21"/>
      <c r="V656" s="21"/>
    </row>
    <row r="657" spans="1:22" s="2" customFormat="1" ht="30" customHeight="1" x14ac:dyDescent="0.25">
      <c r="A657" s="654">
        <f>A656+1</f>
        <v>166</v>
      </c>
      <c r="B657" s="374"/>
      <c r="C657" s="373" t="s">
        <v>744</v>
      </c>
      <c r="D657" s="512">
        <f t="shared" si="44"/>
        <v>1070</v>
      </c>
      <c r="E657" s="427" t="s">
        <v>171</v>
      </c>
      <c r="F657" s="699" t="s">
        <v>263</v>
      </c>
      <c r="G657" s="924"/>
      <c r="H657" s="922" t="s">
        <v>551</v>
      </c>
      <c r="I657" s="923"/>
      <c r="J657" s="198" t="str">
        <f t="shared" si="45"/>
        <v/>
      </c>
      <c r="K657" s="31"/>
      <c r="L657" s="43"/>
      <c r="M657" s="21"/>
      <c r="N657" s="21"/>
      <c r="O657" s="21" t="s">
        <v>740</v>
      </c>
      <c r="P657" s="21"/>
      <c r="Q657" s="21"/>
      <c r="R657" s="21"/>
      <c r="S657" s="21"/>
      <c r="T657" s="21"/>
      <c r="U657" s="21"/>
      <c r="V657" s="21"/>
    </row>
    <row r="658" spans="1:22" s="2" customFormat="1" ht="30" customHeight="1" x14ac:dyDescent="0.25">
      <c r="A658" s="654">
        <f>A657+1</f>
        <v>167</v>
      </c>
      <c r="B658" s="374"/>
      <c r="C658" s="373" t="s">
        <v>746</v>
      </c>
      <c r="D658" s="512">
        <f t="shared" si="44"/>
        <v>1071</v>
      </c>
      <c r="E658" s="427" t="s">
        <v>171</v>
      </c>
      <c r="F658" s="699" t="s">
        <v>852</v>
      </c>
      <c r="G658" s="924"/>
      <c r="H658" s="922" t="s">
        <v>842</v>
      </c>
      <c r="I658" s="923"/>
      <c r="J658" s="198" t="str">
        <f t="shared" si="45"/>
        <v/>
      </c>
      <c r="K658" s="31"/>
      <c r="L658" s="43"/>
      <c r="M658" s="21"/>
      <c r="N658" s="21"/>
      <c r="O658" s="21" t="s">
        <v>740</v>
      </c>
      <c r="P658" s="21"/>
      <c r="Q658" s="21"/>
      <c r="R658" s="21"/>
      <c r="S658" s="21"/>
      <c r="T658" s="21"/>
      <c r="U658" s="21"/>
      <c r="V658" s="21"/>
    </row>
    <row r="659" spans="1:22" s="2" customFormat="1" ht="40.15" customHeight="1" x14ac:dyDescent="0.25">
      <c r="A659" s="653">
        <f>A658+1</f>
        <v>168</v>
      </c>
      <c r="B659" s="254" t="s">
        <v>41</v>
      </c>
      <c r="C659" s="373" t="s">
        <v>747</v>
      </c>
      <c r="D659" s="512">
        <f t="shared" si="44"/>
        <v>1072</v>
      </c>
      <c r="E659" s="427" t="s">
        <v>171</v>
      </c>
      <c r="F659" s="699" t="s">
        <v>285</v>
      </c>
      <c r="G659" s="924"/>
      <c r="H659" s="922" t="s">
        <v>550</v>
      </c>
      <c r="I659" s="923"/>
      <c r="J659" s="198" t="str">
        <f t="shared" si="45"/>
        <v/>
      </c>
      <c r="K659" s="31"/>
      <c r="L659" s="43"/>
      <c r="M659" s="21"/>
      <c r="N659" s="21"/>
      <c r="O659" s="21" t="s">
        <v>740</v>
      </c>
      <c r="P659" s="21"/>
      <c r="Q659" s="21"/>
      <c r="R659" s="21"/>
      <c r="S659" s="21"/>
      <c r="T659" s="21"/>
      <c r="U659" s="21"/>
      <c r="V659" s="21"/>
    </row>
    <row r="660" spans="1:22" s="2" customFormat="1" ht="40.15" customHeight="1" x14ac:dyDescent="0.25">
      <c r="A660" s="572"/>
      <c r="B660" s="254" t="s">
        <v>139</v>
      </c>
      <c r="C660" s="373" t="s">
        <v>748</v>
      </c>
      <c r="D660" s="512">
        <f t="shared" si="44"/>
        <v>1073</v>
      </c>
      <c r="E660" s="427" t="s">
        <v>171</v>
      </c>
      <c r="F660" s="699" t="s">
        <v>285</v>
      </c>
      <c r="G660" s="924"/>
      <c r="H660" s="922" t="s">
        <v>556</v>
      </c>
      <c r="I660" s="923"/>
      <c r="J660" s="198" t="str">
        <f t="shared" si="45"/>
        <v/>
      </c>
      <c r="K660" s="31"/>
      <c r="L660" s="43"/>
      <c r="M660" s="21"/>
      <c r="N660" s="21"/>
      <c r="O660" s="21" t="s">
        <v>740</v>
      </c>
      <c r="P660" s="21"/>
      <c r="Q660" s="21"/>
      <c r="R660" s="21"/>
      <c r="S660" s="21"/>
      <c r="T660" s="21"/>
      <c r="U660" s="21"/>
      <c r="V660" s="21"/>
    </row>
    <row r="661" spans="1:22" s="2" customFormat="1" ht="40.15" customHeight="1" x14ac:dyDescent="0.25">
      <c r="A661" s="572"/>
      <c r="B661" s="254" t="s">
        <v>251</v>
      </c>
      <c r="C661" s="373" t="s">
        <v>749</v>
      </c>
      <c r="D661" s="512">
        <f t="shared" si="44"/>
        <v>1074</v>
      </c>
      <c r="E661" s="427" t="s">
        <v>171</v>
      </c>
      <c r="F661" s="699" t="s">
        <v>285</v>
      </c>
      <c r="G661" s="924"/>
      <c r="H661" s="922"/>
      <c r="I661" s="923"/>
      <c r="J661" s="198" t="str">
        <f t="shared" si="45"/>
        <v/>
      </c>
      <c r="K661" s="31"/>
      <c r="L661" s="43"/>
      <c r="M661" s="21"/>
      <c r="N661" s="21"/>
      <c r="O661" s="21" t="s">
        <v>740</v>
      </c>
      <c r="P661" s="21"/>
      <c r="Q661" s="21"/>
      <c r="R661" s="21"/>
      <c r="S661" s="21"/>
      <c r="T661" s="21"/>
      <c r="U661" s="21"/>
      <c r="V661" s="21"/>
    </row>
    <row r="662" spans="1:22" s="2" customFormat="1" ht="40.15" customHeight="1" x14ac:dyDescent="0.25">
      <c r="A662" s="572"/>
      <c r="B662" s="254" t="s">
        <v>255</v>
      </c>
      <c r="C662" s="373" t="s">
        <v>750</v>
      </c>
      <c r="D662" s="512">
        <f t="shared" si="44"/>
        <v>1075</v>
      </c>
      <c r="E662" s="427" t="s">
        <v>171</v>
      </c>
      <c r="F662" s="699" t="s">
        <v>285</v>
      </c>
      <c r="G662" s="924"/>
      <c r="H662" s="922" t="s">
        <v>846</v>
      </c>
      <c r="I662" s="923"/>
      <c r="J662" s="198" t="str">
        <f t="shared" si="45"/>
        <v/>
      </c>
      <c r="K662" s="31"/>
      <c r="L662" s="43"/>
      <c r="M662" s="21"/>
      <c r="N662" s="21"/>
      <c r="O662" s="21" t="s">
        <v>740</v>
      </c>
      <c r="P662" s="21"/>
      <c r="Q662" s="21"/>
      <c r="R662" s="21"/>
      <c r="S662" s="21"/>
      <c r="T662" s="21"/>
      <c r="U662" s="21"/>
      <c r="V662" s="21"/>
    </row>
    <row r="663" spans="1:22" s="2" customFormat="1" ht="40.15" customHeight="1" x14ac:dyDescent="0.25">
      <c r="A663" s="572"/>
      <c r="B663" s="254" t="s">
        <v>252</v>
      </c>
      <c r="C663" s="373" t="s">
        <v>751</v>
      </c>
      <c r="D663" s="512">
        <f t="shared" si="44"/>
        <v>1076</v>
      </c>
      <c r="E663" s="427" t="s">
        <v>171</v>
      </c>
      <c r="F663" s="699" t="s">
        <v>263</v>
      </c>
      <c r="G663" s="924"/>
      <c r="H663" s="922" t="s">
        <v>847</v>
      </c>
      <c r="I663" s="923"/>
      <c r="J663" s="198" t="str">
        <f t="shared" si="45"/>
        <v/>
      </c>
      <c r="K663" s="31"/>
      <c r="L663" s="43"/>
      <c r="M663" s="21"/>
      <c r="N663" s="21"/>
      <c r="O663" s="21" t="s">
        <v>740</v>
      </c>
      <c r="P663" s="21"/>
      <c r="Q663" s="21"/>
      <c r="R663" s="21"/>
      <c r="S663" s="21"/>
      <c r="T663" s="21"/>
      <c r="U663" s="21"/>
      <c r="V663" s="21"/>
    </row>
    <row r="664" spans="1:22" s="2" customFormat="1" ht="40.15" customHeight="1" x14ac:dyDescent="0.25">
      <c r="A664" s="572"/>
      <c r="B664" s="254" t="s">
        <v>253</v>
      </c>
      <c r="C664" s="373" t="s">
        <v>752</v>
      </c>
      <c r="D664" s="512">
        <f t="shared" si="44"/>
        <v>1077</v>
      </c>
      <c r="E664" s="427" t="s">
        <v>171</v>
      </c>
      <c r="F664" s="699" t="s">
        <v>263</v>
      </c>
      <c r="G664" s="924"/>
      <c r="H664" s="922"/>
      <c r="I664" s="923"/>
      <c r="J664" s="198" t="str">
        <f t="shared" si="45"/>
        <v/>
      </c>
      <c r="K664" s="31"/>
      <c r="L664" s="43"/>
      <c r="M664" s="21"/>
      <c r="N664" s="21"/>
      <c r="O664" s="21" t="s">
        <v>740</v>
      </c>
      <c r="P664" s="21"/>
      <c r="Q664" s="21"/>
      <c r="R664" s="21"/>
      <c r="S664" s="21"/>
      <c r="T664" s="21"/>
      <c r="U664" s="21"/>
      <c r="V664" s="21"/>
    </row>
    <row r="665" spans="1:22" s="2" customFormat="1" ht="40.15" customHeight="1" x14ac:dyDescent="0.25">
      <c r="A665" s="572"/>
      <c r="B665" s="254" t="s">
        <v>254</v>
      </c>
      <c r="C665" s="373" t="s">
        <v>753</v>
      </c>
      <c r="D665" s="512">
        <f t="shared" si="44"/>
        <v>1078</v>
      </c>
      <c r="E665" s="427" t="s">
        <v>171</v>
      </c>
      <c r="F665" s="699" t="s">
        <v>263</v>
      </c>
      <c r="G665" s="924"/>
      <c r="H665" s="922" t="s">
        <v>848</v>
      </c>
      <c r="I665" s="923"/>
      <c r="J665" s="198" t="str">
        <f t="shared" si="45"/>
        <v/>
      </c>
      <c r="K665" s="31"/>
      <c r="L665" s="43"/>
      <c r="M665" s="21"/>
      <c r="N665" s="21"/>
      <c r="O665" s="21" t="s">
        <v>740</v>
      </c>
      <c r="P665" s="21"/>
      <c r="Q665" s="21"/>
      <c r="R665" s="21"/>
      <c r="S665" s="21"/>
      <c r="T665" s="21"/>
      <c r="U665" s="21"/>
      <c r="V665" s="21"/>
    </row>
    <row r="666" spans="1:22" s="2" customFormat="1" ht="40.15" customHeight="1" x14ac:dyDescent="0.25">
      <c r="A666" s="572"/>
      <c r="B666" s="254" t="s">
        <v>256</v>
      </c>
      <c r="C666" s="373" t="s">
        <v>754</v>
      </c>
      <c r="D666" s="512">
        <f t="shared" si="44"/>
        <v>1079</v>
      </c>
      <c r="E666" s="427" t="s">
        <v>171</v>
      </c>
      <c r="F666" s="699" t="s">
        <v>263</v>
      </c>
      <c r="G666" s="924"/>
      <c r="H666" s="922" t="s">
        <v>849</v>
      </c>
      <c r="I666" s="923"/>
      <c r="J666" s="198" t="str">
        <f t="shared" si="45"/>
        <v/>
      </c>
      <c r="K666" s="31"/>
      <c r="L666" s="43"/>
      <c r="M666" s="21"/>
      <c r="N666" s="21"/>
      <c r="O666" s="21" t="s">
        <v>740</v>
      </c>
      <c r="P666" s="21"/>
      <c r="Q666" s="21"/>
      <c r="R666" s="21"/>
      <c r="S666" s="21"/>
      <c r="T666" s="21"/>
      <c r="U666" s="21"/>
      <c r="V666" s="21"/>
    </row>
    <row r="667" spans="1:22" s="2" customFormat="1" ht="40.15" customHeight="1" x14ac:dyDescent="0.25">
      <c r="A667" s="572"/>
      <c r="B667" s="254" t="s">
        <v>257</v>
      </c>
      <c r="C667" s="373" t="s">
        <v>755</v>
      </c>
      <c r="D667" s="512">
        <f t="shared" si="44"/>
        <v>1080</v>
      </c>
      <c r="E667" s="427" t="s">
        <v>171</v>
      </c>
      <c r="F667" s="699" t="s">
        <v>263</v>
      </c>
      <c r="G667" s="924"/>
      <c r="H667" s="922" t="s">
        <v>2455</v>
      </c>
      <c r="I667" s="923"/>
      <c r="J667" s="198" t="str">
        <f t="shared" si="45"/>
        <v/>
      </c>
      <c r="K667" s="31"/>
      <c r="L667" s="43"/>
      <c r="M667" s="21"/>
      <c r="N667" s="21"/>
      <c r="O667" s="21" t="s">
        <v>740</v>
      </c>
      <c r="P667" s="21"/>
      <c r="Q667" s="21"/>
      <c r="R667" s="21"/>
      <c r="S667" s="21"/>
      <c r="T667" s="21"/>
      <c r="U667" s="21"/>
      <c r="V667" s="21"/>
    </row>
    <row r="668" spans="1:22" s="2" customFormat="1" ht="30" customHeight="1" x14ac:dyDescent="0.25">
      <c r="A668" s="573"/>
      <c r="B668" s="254" t="s">
        <v>259</v>
      </c>
      <c r="C668" s="373" t="s">
        <v>2456</v>
      </c>
      <c r="D668" s="512">
        <f t="shared" si="44"/>
        <v>1081</v>
      </c>
      <c r="E668" s="427" t="s">
        <v>174</v>
      </c>
      <c r="F668" s="699" t="s">
        <v>240</v>
      </c>
      <c r="G668" s="924"/>
      <c r="H668" s="922" t="s">
        <v>850</v>
      </c>
      <c r="I668" s="923"/>
      <c r="J668" s="198" t="str">
        <f t="shared" si="45"/>
        <v/>
      </c>
      <c r="K668" s="31"/>
      <c r="L668" s="43"/>
      <c r="M668" s="21"/>
      <c r="N668" s="21"/>
      <c r="O668" s="21" t="s">
        <v>740</v>
      </c>
      <c r="P668" s="21"/>
      <c r="Q668" s="21"/>
      <c r="R668" s="21"/>
      <c r="S668" s="21"/>
      <c r="T668" s="21"/>
      <c r="U668" s="21"/>
      <c r="V668" s="21"/>
    </row>
    <row r="669" spans="1:22" s="2" customFormat="1" ht="30" customHeight="1" x14ac:dyDescent="0.25">
      <c r="A669" s="653">
        <f>A659+1</f>
        <v>169</v>
      </c>
      <c r="B669" s="254" t="s">
        <v>41</v>
      </c>
      <c r="C669" s="373" t="s">
        <v>756</v>
      </c>
      <c r="D669" s="512">
        <f t="shared" si="44"/>
        <v>1082</v>
      </c>
      <c r="E669" s="427" t="s">
        <v>171</v>
      </c>
      <c r="F669" s="693" t="s">
        <v>285</v>
      </c>
      <c r="G669" s="924"/>
      <c r="H669" s="922" t="s">
        <v>851</v>
      </c>
      <c r="I669" s="923"/>
      <c r="J669" s="198" t="str">
        <f t="shared" si="45"/>
        <v/>
      </c>
      <c r="K669" s="31"/>
      <c r="L669" s="43"/>
      <c r="M669" s="21"/>
      <c r="N669" s="21"/>
      <c r="O669" s="21"/>
      <c r="P669" s="21"/>
      <c r="Q669" s="21"/>
      <c r="R669" s="21"/>
      <c r="S669" s="21"/>
      <c r="T669" s="21"/>
      <c r="U669" s="21"/>
      <c r="V669" s="21"/>
    </row>
    <row r="670" spans="1:22" s="2" customFormat="1" ht="40.15" customHeight="1" x14ac:dyDescent="0.25">
      <c r="A670" s="572"/>
      <c r="B670" s="254" t="s">
        <v>139</v>
      </c>
      <c r="C670" s="373" t="s">
        <v>757</v>
      </c>
      <c r="D670" s="512">
        <f t="shared" si="44"/>
        <v>1083</v>
      </c>
      <c r="E670" s="427" t="s">
        <v>171</v>
      </c>
      <c r="F670" s="694" t="s">
        <v>285</v>
      </c>
      <c r="G670" s="924"/>
      <c r="H670" s="922" t="s">
        <v>852</v>
      </c>
      <c r="I670" s="923"/>
      <c r="J670" s="198" t="str">
        <f t="shared" si="45"/>
        <v/>
      </c>
      <c r="K670" s="31"/>
      <c r="L670" s="43"/>
      <c r="M670" s="21"/>
      <c r="N670" s="21"/>
      <c r="O670" s="21"/>
      <c r="P670" s="21"/>
      <c r="Q670" s="21"/>
      <c r="R670" s="21"/>
      <c r="S670" s="21"/>
      <c r="T670" s="21"/>
      <c r="U670" s="21"/>
      <c r="V670" s="21"/>
    </row>
    <row r="671" spans="1:22" s="2" customFormat="1" ht="40.15" customHeight="1" x14ac:dyDescent="0.25">
      <c r="A671" s="573"/>
      <c r="B671" s="254" t="s">
        <v>251</v>
      </c>
      <c r="C671" s="373" t="s">
        <v>758</v>
      </c>
      <c r="D671" s="512">
        <f t="shared" si="44"/>
        <v>1084</v>
      </c>
      <c r="E671" s="427" t="s">
        <v>171</v>
      </c>
      <c r="F671" s="697" t="s">
        <v>285</v>
      </c>
      <c r="G671" s="924"/>
      <c r="H671" s="922" t="s">
        <v>853</v>
      </c>
      <c r="I671" s="923"/>
      <c r="J671" s="198" t="str">
        <f t="shared" si="45"/>
        <v/>
      </c>
      <c r="K671" s="31"/>
      <c r="L671" s="43"/>
      <c r="M671" s="21"/>
      <c r="N671" s="21"/>
      <c r="O671" s="21"/>
      <c r="P671" s="21"/>
      <c r="Q671" s="21"/>
      <c r="R671" s="21"/>
      <c r="S671" s="21"/>
      <c r="T671" s="21"/>
      <c r="U671" s="21"/>
      <c r="V671" s="21"/>
    </row>
    <row r="672" spans="1:22" s="2" customFormat="1" ht="40.15" customHeight="1" x14ac:dyDescent="0.25">
      <c r="A672" s="653">
        <f>A669+1</f>
        <v>170</v>
      </c>
      <c r="B672" s="254" t="s">
        <v>41</v>
      </c>
      <c r="C672" s="373" t="s">
        <v>759</v>
      </c>
      <c r="D672" s="512">
        <f t="shared" si="44"/>
        <v>1085</v>
      </c>
      <c r="E672" s="427" t="s">
        <v>171</v>
      </c>
      <c r="F672" s="693" t="s">
        <v>285</v>
      </c>
      <c r="G672" s="924"/>
      <c r="H672" s="922"/>
      <c r="I672" s="923"/>
      <c r="J672" s="198" t="str">
        <f t="shared" si="45"/>
        <v/>
      </c>
      <c r="K672" s="31"/>
      <c r="L672" s="43"/>
      <c r="M672" s="21"/>
      <c r="N672" s="21"/>
      <c r="O672" s="21"/>
      <c r="P672" s="21"/>
      <c r="Q672" s="21"/>
      <c r="R672" s="21"/>
      <c r="S672" s="21"/>
      <c r="T672" s="21"/>
      <c r="U672" s="21"/>
      <c r="V672" s="21"/>
    </row>
    <row r="673" spans="1:22" s="2" customFormat="1" ht="40.15" customHeight="1" x14ac:dyDescent="0.25">
      <c r="A673" s="591"/>
      <c r="B673" s="254" t="s">
        <v>139</v>
      </c>
      <c r="C673" s="373" t="s">
        <v>760</v>
      </c>
      <c r="D673" s="512">
        <f t="shared" si="44"/>
        <v>1086</v>
      </c>
      <c r="E673" s="427" t="s">
        <v>174</v>
      </c>
      <c r="F673" s="697" t="s">
        <v>2826</v>
      </c>
      <c r="G673" s="924"/>
      <c r="H673" s="922"/>
      <c r="I673" s="923"/>
      <c r="J673" s="198" t="str">
        <f>IF(F673="","Belum Terisi",IF(AND(F672="Ada",F673="-"),"CEK",""))</f>
        <v/>
      </c>
      <c r="K673" s="31" t="str">
        <f>IF(J673="CEK","Ada Kendala, Sebutkan","")</f>
        <v/>
      </c>
      <c r="L673" s="43"/>
      <c r="M673" s="21"/>
      <c r="N673" s="21"/>
      <c r="O673" s="21"/>
      <c r="P673" s="21"/>
      <c r="Q673" s="21"/>
      <c r="R673" s="21"/>
      <c r="S673" s="21"/>
      <c r="T673" s="21"/>
      <c r="U673" s="21"/>
      <c r="V673" s="21"/>
    </row>
    <row r="674" spans="1:22" s="2" customFormat="1" ht="30" customHeight="1" x14ac:dyDescent="0.25">
      <c r="A674" s="653">
        <f>A672+1</f>
        <v>171</v>
      </c>
      <c r="B674" s="254" t="s">
        <v>41</v>
      </c>
      <c r="C674" s="373" t="s">
        <v>1920</v>
      </c>
      <c r="D674" s="512">
        <f t="shared" si="44"/>
        <v>1087</v>
      </c>
      <c r="E674" s="427" t="s">
        <v>171</v>
      </c>
      <c r="F674" s="693" t="s">
        <v>285</v>
      </c>
      <c r="G674" s="924"/>
      <c r="H674" s="922"/>
      <c r="I674" s="923"/>
      <c r="J674" s="198" t="str">
        <f>IF(LEN(F674)&gt;0,"","Belum Terisi")</f>
        <v/>
      </c>
      <c r="K674" s="31"/>
      <c r="L674" s="43"/>
      <c r="M674" s="21"/>
      <c r="N674" s="847" t="s">
        <v>668</v>
      </c>
      <c r="O674" s="21"/>
      <c r="P674" s="21"/>
      <c r="Q674" s="21"/>
      <c r="R674" s="21"/>
      <c r="S674" s="21"/>
      <c r="T674" s="21"/>
      <c r="U674" s="21"/>
      <c r="V674" s="21"/>
    </row>
    <row r="675" spans="1:22" s="2" customFormat="1" ht="30" customHeight="1" x14ac:dyDescent="0.25">
      <c r="A675" s="572"/>
      <c r="B675" s="254" t="s">
        <v>139</v>
      </c>
      <c r="C675" s="373" t="s">
        <v>1959</v>
      </c>
      <c r="D675" s="512">
        <f t="shared" si="44"/>
        <v>1088</v>
      </c>
      <c r="E675" s="427" t="s">
        <v>171</v>
      </c>
      <c r="F675" s="694" t="s">
        <v>263</v>
      </c>
      <c r="G675" s="924"/>
      <c r="H675" s="922"/>
      <c r="I675" s="923"/>
      <c r="J675" s="198" t="str">
        <f>IF(LEN(F675)&gt;0,"","Belum Terisi")</f>
        <v/>
      </c>
      <c r="K675" s="31"/>
      <c r="L675" s="43"/>
      <c r="M675" s="21"/>
      <c r="N675" s="847" t="s">
        <v>668</v>
      </c>
      <c r="O675" s="21"/>
      <c r="P675" s="21"/>
      <c r="Q675" s="21"/>
      <c r="R675" s="21"/>
      <c r="S675" s="21"/>
      <c r="T675" s="21"/>
      <c r="U675" s="21"/>
      <c r="V675" s="21"/>
    </row>
    <row r="676" spans="1:22" s="2" customFormat="1" ht="30" customHeight="1" x14ac:dyDescent="0.25">
      <c r="A676" s="572"/>
      <c r="B676" s="254" t="s">
        <v>251</v>
      </c>
      <c r="C676" s="373" t="s">
        <v>1992</v>
      </c>
      <c r="D676" s="512">
        <f t="shared" si="44"/>
        <v>1089</v>
      </c>
      <c r="E676" s="427" t="s">
        <v>171</v>
      </c>
      <c r="F676" s="694" t="s">
        <v>263</v>
      </c>
      <c r="G676" s="924"/>
      <c r="H676" s="922"/>
      <c r="I676" s="923"/>
      <c r="J676" s="198" t="str">
        <f>IF(LEN(F676)&gt;0,"","Belum Terisi")</f>
        <v/>
      </c>
      <c r="K676" s="31"/>
      <c r="L676" s="31"/>
      <c r="M676" s="21"/>
      <c r="N676" s="847" t="s">
        <v>668</v>
      </c>
      <c r="O676" s="21"/>
      <c r="P676" s="21"/>
      <c r="Q676" s="21"/>
      <c r="R676" s="21"/>
      <c r="S676" s="21"/>
      <c r="T676" s="21"/>
      <c r="U676" s="21"/>
      <c r="V676" s="21"/>
    </row>
    <row r="677" spans="1:22" s="2" customFormat="1" ht="30" customHeight="1" x14ac:dyDescent="0.25">
      <c r="A677" s="573"/>
      <c r="B677" s="254" t="s">
        <v>255</v>
      </c>
      <c r="C677" s="373" t="s">
        <v>2080</v>
      </c>
      <c r="D677" s="512">
        <f t="shared" si="44"/>
        <v>1090</v>
      </c>
      <c r="E677" s="427" t="s">
        <v>174</v>
      </c>
      <c r="F677" s="697" t="s">
        <v>240</v>
      </c>
      <c r="G677" s="924"/>
      <c r="H677" s="922" t="s">
        <v>854</v>
      </c>
      <c r="I677" s="923"/>
      <c r="J677" s="198" t="str">
        <f>IF(F677="","Belum Terisi",IF(AND(F676="Ada",F677="-"),"CEK",""))</f>
        <v/>
      </c>
      <c r="K677" s="31" t="str">
        <f>IF(J677="CEK",F676&amp;" Sarana Informasi Lainnya, Sebutkan","")</f>
        <v/>
      </c>
      <c r="L677" s="43"/>
      <c r="M677" s="21"/>
      <c r="N677" s="21"/>
      <c r="O677" s="21"/>
      <c r="P677" s="21"/>
      <c r="Q677" s="21"/>
      <c r="R677" s="21"/>
      <c r="S677" s="21"/>
      <c r="T677" s="21"/>
      <c r="U677" s="21"/>
      <c r="V677" s="21"/>
    </row>
    <row r="678" spans="1:22" s="2" customFormat="1" ht="30" customHeight="1" x14ac:dyDescent="0.25">
      <c r="A678" s="653">
        <f>A674+1</f>
        <v>172</v>
      </c>
      <c r="B678" s="254" t="s">
        <v>41</v>
      </c>
      <c r="C678" s="373" t="s">
        <v>86</v>
      </c>
      <c r="D678" s="512">
        <f t="shared" si="44"/>
        <v>1091</v>
      </c>
      <c r="E678" s="427" t="s">
        <v>171</v>
      </c>
      <c r="F678" s="693" t="s">
        <v>263</v>
      </c>
      <c r="G678" s="924"/>
      <c r="H678" s="922" t="s">
        <v>855</v>
      </c>
      <c r="I678" s="923"/>
      <c r="J678" s="198" t="str">
        <f>IF(LEN(F678)&gt;0,"","Belum Terisi")</f>
        <v/>
      </c>
      <c r="K678" s="31"/>
      <c r="L678" s="43"/>
      <c r="M678" s="21"/>
      <c r="N678" s="847" t="s">
        <v>668</v>
      </c>
      <c r="O678" s="21"/>
      <c r="P678" s="21"/>
      <c r="Q678" s="21"/>
      <c r="R678" s="21"/>
      <c r="S678" s="21"/>
      <c r="T678" s="21"/>
      <c r="U678" s="21"/>
      <c r="V678" s="21"/>
    </row>
    <row r="679" spans="1:22" s="2" customFormat="1" ht="30" customHeight="1" x14ac:dyDescent="0.25">
      <c r="A679" s="573"/>
      <c r="B679" s="254" t="s">
        <v>139</v>
      </c>
      <c r="C679" s="373" t="s">
        <v>87</v>
      </c>
      <c r="D679" s="512">
        <f t="shared" si="44"/>
        <v>1092</v>
      </c>
      <c r="E679" s="427" t="s">
        <v>51</v>
      </c>
      <c r="F679" s="717">
        <v>0</v>
      </c>
      <c r="G679" s="924"/>
      <c r="H679" s="922" t="s">
        <v>856</v>
      </c>
      <c r="I679" s="928" t="s">
        <v>710</v>
      </c>
      <c r="J679" s="198" t="str">
        <f>IF(LEN(F679)&gt;0,"","Belum Terisi")</f>
        <v/>
      </c>
      <c r="K679" s="31"/>
      <c r="L679" s="43"/>
      <c r="M679" s="21"/>
      <c r="N679" s="21"/>
      <c r="O679" s="21"/>
      <c r="P679" s="21"/>
      <c r="Q679" s="21"/>
      <c r="R679" s="21"/>
      <c r="S679" s="21"/>
      <c r="T679" s="21"/>
      <c r="U679" s="21"/>
      <c r="V679" s="21"/>
    </row>
    <row r="680" spans="1:22" s="2" customFormat="1" ht="30" customHeight="1" x14ac:dyDescent="0.25">
      <c r="A680" s="582" t="s">
        <v>2081</v>
      </c>
      <c r="B680" s="372"/>
      <c r="C680" s="372"/>
      <c r="D680" s="503"/>
      <c r="E680" s="429"/>
      <c r="F680" s="732"/>
      <c r="G680" s="924"/>
      <c r="H680" s="922"/>
      <c r="I680" s="923"/>
      <c r="J680" s="98"/>
      <c r="K680" s="31"/>
      <c r="L680" s="43"/>
      <c r="M680" s="21"/>
      <c r="N680" s="21"/>
      <c r="O680" s="21"/>
      <c r="P680" s="21"/>
      <c r="Q680" s="21"/>
      <c r="R680" s="21"/>
      <c r="S680" s="21"/>
      <c r="T680" s="21"/>
      <c r="U680" s="21"/>
      <c r="V680" s="21"/>
    </row>
    <row r="681" spans="1:22" s="2" customFormat="1" ht="30" customHeight="1" x14ac:dyDescent="0.25">
      <c r="A681" s="653">
        <f>A678+1</f>
        <v>173</v>
      </c>
      <c r="B681" s="254" t="s">
        <v>41</v>
      </c>
      <c r="C681" s="373" t="s">
        <v>1921</v>
      </c>
      <c r="D681" s="100">
        <f>D679+1</f>
        <v>1093</v>
      </c>
      <c r="E681" s="427" t="s">
        <v>46</v>
      </c>
      <c r="F681" s="718">
        <v>784</v>
      </c>
      <c r="G681" s="924"/>
      <c r="H681" s="933" t="s">
        <v>198</v>
      </c>
      <c r="I681" s="947"/>
      <c r="J681" s="198" t="str">
        <f>IF(F681="","Belum Terisi",IF(SUM($F$681:$F$682)&lt;&gt;'INPUTAN DESA ....'!$F$122,"CEK",""))</f>
        <v/>
      </c>
      <c r="K681" s="31" t="str">
        <f>IF(J681="CEK","Jumlah KK Memiliki Rumah dan Tidak Memiliki Rumah Harus Sama Dengan Total KK di Desa","")</f>
        <v/>
      </c>
      <c r="L681" s="43"/>
      <c r="M681" s="21"/>
      <c r="N681" s="21"/>
      <c r="O681" s="21"/>
      <c r="P681" s="21"/>
      <c r="Q681" s="21"/>
      <c r="R681" s="21"/>
      <c r="S681" s="21"/>
      <c r="T681" s="21"/>
      <c r="U681" s="21"/>
      <c r="V681" s="21"/>
    </row>
    <row r="682" spans="1:22" s="2" customFormat="1" ht="30" customHeight="1" x14ac:dyDescent="0.25">
      <c r="A682" s="573"/>
      <c r="B682" s="254" t="s">
        <v>139</v>
      </c>
      <c r="C682" s="373" t="s">
        <v>1960</v>
      </c>
      <c r="D682" s="100">
        <f t="shared" ref="D682:D689" si="46">D681+1</f>
        <v>1094</v>
      </c>
      <c r="E682" s="427" t="s">
        <v>46</v>
      </c>
      <c r="F682" s="717">
        <v>0</v>
      </c>
      <c r="G682" s="924"/>
      <c r="H682" s="933" t="s">
        <v>198</v>
      </c>
      <c r="I682" s="947"/>
      <c r="J682" s="198" t="str">
        <f>IF(F682="","Belum Terisi",IF(SUM($F$681:$F$682)&lt;&gt;'INPUTAN DESA ....'!$F$122,"CEK",""))</f>
        <v/>
      </c>
      <c r="K682" s="31" t="str">
        <f>IF(J682="CEK","Jumlah KK Memiliki Rumah dan Tidak Memiliki Rumah Harus Sama Dengan Total KK di Desa","")</f>
        <v/>
      </c>
      <c r="L682" s="43"/>
      <c r="M682" s="21"/>
      <c r="N682" s="21"/>
      <c r="O682" s="21"/>
      <c r="P682" s="21"/>
      <c r="Q682" s="21"/>
      <c r="R682" s="21"/>
      <c r="S682" s="21"/>
      <c r="T682" s="21"/>
      <c r="U682" s="21"/>
      <c r="V682" s="21"/>
    </row>
    <row r="683" spans="1:22" s="2" customFormat="1" ht="30" customHeight="1" x14ac:dyDescent="0.25">
      <c r="A683" s="653">
        <f>A681+1</f>
        <v>174</v>
      </c>
      <c r="B683" s="254" t="s">
        <v>41</v>
      </c>
      <c r="C683" s="373" t="s">
        <v>1922</v>
      </c>
      <c r="D683" s="100">
        <f t="shared" si="46"/>
        <v>1095</v>
      </c>
      <c r="E683" s="427" t="s">
        <v>46</v>
      </c>
      <c r="F683" s="718">
        <v>545</v>
      </c>
      <c r="G683" s="924"/>
      <c r="H683" s="922" t="s">
        <v>199</v>
      </c>
      <c r="I683" s="947"/>
      <c r="J683" s="198" t="str">
        <f>IF(F683="","Belum Terisi",IF(SUM($F$683,$F$685,$F$687,)&lt;&gt;$F$681,"CEK",""))</f>
        <v/>
      </c>
      <c r="K683" s="31" t="str">
        <f>IF(J683="CEK","Total KK memiliki Rumah Permanen, Semi Permanen dan Non Permanen Harus sama dengan Total KK Memiliki Rumah","")</f>
        <v/>
      </c>
      <c r="L683" s="43"/>
      <c r="M683" s="21"/>
      <c r="N683" s="21"/>
      <c r="O683" s="21"/>
      <c r="P683" s="21"/>
      <c r="Q683" s="21"/>
      <c r="R683" s="21"/>
      <c r="S683" s="21"/>
      <c r="T683" s="21"/>
      <c r="U683" s="21"/>
      <c r="V683" s="21"/>
    </row>
    <row r="684" spans="1:22" s="2" customFormat="1" ht="30" customHeight="1" x14ac:dyDescent="0.25">
      <c r="A684" s="591"/>
      <c r="B684" s="254" t="s">
        <v>139</v>
      </c>
      <c r="C684" s="373" t="s">
        <v>1961</v>
      </c>
      <c r="D684" s="100">
        <f t="shared" si="46"/>
        <v>1096</v>
      </c>
      <c r="E684" s="427" t="s">
        <v>171</v>
      </c>
      <c r="F684" s="697" t="s">
        <v>855</v>
      </c>
      <c r="G684" s="924"/>
      <c r="H684" s="922"/>
      <c r="I684" s="947"/>
      <c r="J684" s="198" t="str">
        <f>IF(F684="","Belum Terisi",IF(AND(F683=0,F684&lt;&gt;"Tidak Ada"),"CEK",IF(AND(F683&gt;0,F684="Tidak Ada"),"CEK","")))</f>
        <v/>
      </c>
      <c r="K684" s="31" t="str">
        <f>IF(AND(J684="CEK",F683=0),"Tidak Terdapat KK Rumah Permanen",IF(AND(J684="CEK",F683&gt;0),"Terdapat KK Rumah Permanen",""))</f>
        <v/>
      </c>
      <c r="L684" s="43"/>
      <c r="M684" s="21"/>
      <c r="N684" s="21"/>
      <c r="O684" s="21"/>
      <c r="P684" s="21"/>
      <c r="Q684" s="21"/>
      <c r="R684" s="21"/>
      <c r="S684" s="21"/>
      <c r="T684" s="21"/>
      <c r="U684" s="21"/>
      <c r="V684" s="21"/>
    </row>
    <row r="685" spans="1:22" s="2" customFormat="1" ht="30" customHeight="1" x14ac:dyDescent="0.25">
      <c r="A685" s="653">
        <f>A683+1</f>
        <v>175</v>
      </c>
      <c r="B685" s="254" t="s">
        <v>41</v>
      </c>
      <c r="C685" s="373" t="s">
        <v>1923</v>
      </c>
      <c r="D685" s="100">
        <f t="shared" si="46"/>
        <v>1097</v>
      </c>
      <c r="E685" s="427" t="s">
        <v>46</v>
      </c>
      <c r="F685" s="718">
        <v>75</v>
      </c>
      <c r="G685" s="924"/>
      <c r="H685" s="922" t="s">
        <v>199</v>
      </c>
      <c r="I685" s="947"/>
      <c r="J685" s="198" t="str">
        <f>IF(F685="","Belum Terisi",IF(SUM($F$683,$F$685,$F$687,)&lt;&gt;$F$681,"CEK",""))</f>
        <v/>
      </c>
      <c r="K685" s="31" t="str">
        <f>IF(J685="CEK","Total KK memiliki Rumah Permanen, Semi Permanen dan Non Permanen Harus sama dengan Total KK Memiliki Rumah","")</f>
        <v/>
      </c>
      <c r="L685" s="43"/>
      <c r="M685" s="21"/>
      <c r="N685" s="21"/>
      <c r="O685" s="21"/>
      <c r="P685" s="21"/>
      <c r="Q685" s="21"/>
      <c r="R685" s="21"/>
      <c r="S685" s="21"/>
      <c r="T685" s="21"/>
      <c r="U685" s="21"/>
      <c r="V685" s="21"/>
    </row>
    <row r="686" spans="1:22" s="2" customFormat="1" ht="30" customHeight="1" x14ac:dyDescent="0.25">
      <c r="A686" s="591"/>
      <c r="B686" s="254" t="s">
        <v>139</v>
      </c>
      <c r="C686" s="373" t="s">
        <v>1962</v>
      </c>
      <c r="D686" s="100">
        <f t="shared" si="46"/>
        <v>1098</v>
      </c>
      <c r="E686" s="427" t="s">
        <v>171</v>
      </c>
      <c r="F686" s="697" t="s">
        <v>855</v>
      </c>
      <c r="G686" s="924"/>
      <c r="H686" s="922"/>
      <c r="I686" s="947"/>
      <c r="J686" s="198" t="str">
        <f>IF(F686="","Belum Terisi",IF(AND(F685=0,F686&lt;&gt;"Tidak Ada"),"CEK",IF(AND(F685&gt;0,F686="Tidak Ada"),"CEK","")))</f>
        <v/>
      </c>
      <c r="K686" s="31" t="str">
        <f>IF(AND(J686="CEK",F685=0),"Tidak Terdapat KK Rumah Permanen",IF(AND(J686="CEK",F685&gt;0),"Terdapat KK Rumah Permanen",""))</f>
        <v/>
      </c>
      <c r="L686" s="43"/>
      <c r="M686" s="21"/>
      <c r="N686" s="21"/>
      <c r="O686" s="21"/>
      <c r="P686" s="21"/>
      <c r="Q686" s="21"/>
      <c r="R686" s="21"/>
      <c r="S686" s="21"/>
      <c r="T686" s="21"/>
      <c r="U686" s="21"/>
      <c r="V686" s="21"/>
    </row>
    <row r="687" spans="1:22" s="2" customFormat="1" ht="30" customHeight="1" x14ac:dyDescent="0.25">
      <c r="A687" s="653">
        <f>A685+1</f>
        <v>176</v>
      </c>
      <c r="B687" s="254" t="s">
        <v>41</v>
      </c>
      <c r="C687" s="373" t="s">
        <v>1924</v>
      </c>
      <c r="D687" s="100">
        <f t="shared" si="46"/>
        <v>1099</v>
      </c>
      <c r="E687" s="427" t="s">
        <v>46</v>
      </c>
      <c r="F687" s="718">
        <v>164</v>
      </c>
      <c r="G687" s="924"/>
      <c r="H687" s="922" t="s">
        <v>199</v>
      </c>
      <c r="I687" s="947"/>
      <c r="J687" s="198" t="str">
        <f>IF(F687="","Belum Terisi",IF(SUM($F$683,$F$685,$F$687,)&lt;&gt;$F$681,"CEK",""))</f>
        <v/>
      </c>
      <c r="K687" s="31" t="str">
        <f>IF(J687="CEK","Total KK memiliki Rumah Permanen, Semi Permanen dan Non Permanen Harus sama dengan Total KK Memiliki Rumah","")</f>
        <v/>
      </c>
      <c r="L687" s="31"/>
      <c r="M687" s="21"/>
      <c r="N687" s="21"/>
      <c r="O687" s="21"/>
      <c r="P687" s="21"/>
      <c r="Q687" s="21"/>
      <c r="R687" s="21"/>
      <c r="S687" s="21"/>
      <c r="T687" s="21"/>
      <c r="U687" s="21"/>
      <c r="V687" s="21"/>
    </row>
    <row r="688" spans="1:22" s="2" customFormat="1" ht="30" customHeight="1" x14ac:dyDescent="0.25">
      <c r="A688" s="591"/>
      <c r="B688" s="254" t="s">
        <v>139</v>
      </c>
      <c r="C688" s="373" t="s">
        <v>1963</v>
      </c>
      <c r="D688" s="100">
        <f t="shared" si="46"/>
        <v>1100</v>
      </c>
      <c r="E688" s="427" t="s">
        <v>171</v>
      </c>
      <c r="F688" s="697" t="s">
        <v>856</v>
      </c>
      <c r="G688" s="924"/>
      <c r="H688" s="922"/>
      <c r="I688" s="923"/>
      <c r="J688" s="198" t="str">
        <f>IF(F688="","Belum Terisi",IF(AND(F687=0,F688&lt;&gt;"Tidak Ada"),"CEK",IF(AND(F687&gt;0,F688="Tidak Ada"),"CEK","")))</f>
        <v/>
      </c>
      <c r="K688" s="31" t="str">
        <f>IF(AND(J688="CEK",F687=0),"Tidak Terdapat KK Rumah Permanen",IF(AND(J688="CEK",F687&gt;0),"Terdapat KK Rumah Permanen",""))</f>
        <v/>
      </c>
      <c r="L688" s="43"/>
      <c r="M688" s="21"/>
      <c r="N688" s="21"/>
      <c r="O688" s="21"/>
      <c r="P688" s="21"/>
      <c r="Q688" s="21"/>
      <c r="R688" s="21"/>
      <c r="S688" s="21"/>
      <c r="T688" s="21"/>
      <c r="U688" s="21"/>
      <c r="V688" s="21"/>
    </row>
    <row r="689" spans="1:22" s="2" customFormat="1" ht="30" customHeight="1" x14ac:dyDescent="0.25">
      <c r="A689" s="654">
        <f>A687+1</f>
        <v>177</v>
      </c>
      <c r="B689" s="374"/>
      <c r="C689" s="373" t="s">
        <v>1925</v>
      </c>
      <c r="D689" s="100">
        <f t="shared" si="46"/>
        <v>1101</v>
      </c>
      <c r="E689" s="463" t="s">
        <v>638</v>
      </c>
      <c r="F689" s="720">
        <v>0</v>
      </c>
      <c r="G689" s="924"/>
      <c r="H689" s="957" t="s">
        <v>705</v>
      </c>
      <c r="I689" s="923"/>
      <c r="J689" s="198" t="str">
        <f>IF(LEN(F689)&gt;0,"","Belum Terisi")</f>
        <v/>
      </c>
      <c r="K689" s="31"/>
      <c r="L689" s="43"/>
      <c r="M689" s="21"/>
      <c r="N689" s="21"/>
      <c r="O689" s="21"/>
      <c r="P689" s="849" t="s">
        <v>670</v>
      </c>
      <c r="Q689" s="21"/>
      <c r="R689" s="21"/>
      <c r="S689" s="21"/>
      <c r="T689" s="21"/>
      <c r="U689" s="21"/>
      <c r="V689" s="21"/>
    </row>
    <row r="690" spans="1:22" s="2" customFormat="1" ht="30" customHeight="1" x14ac:dyDescent="0.25">
      <c r="A690" s="655" t="s">
        <v>2082</v>
      </c>
      <c r="B690" s="378"/>
      <c r="C690" s="378"/>
      <c r="D690" s="503"/>
      <c r="E690" s="429"/>
      <c r="F690" s="732"/>
      <c r="G690" s="924"/>
      <c r="H690" s="922"/>
      <c r="I690" s="923"/>
      <c r="J690" s="198"/>
      <c r="K690" s="31"/>
      <c r="L690" s="43"/>
      <c r="M690" s="21"/>
      <c r="N690" s="21"/>
      <c r="O690" s="21"/>
      <c r="P690" s="849"/>
      <c r="Q690" s="21"/>
      <c r="R690" s="21"/>
      <c r="S690" s="21"/>
      <c r="T690" s="21"/>
      <c r="U690" s="21"/>
      <c r="V690" s="21"/>
    </row>
    <row r="691" spans="1:22" s="2" customFormat="1" ht="30" customHeight="1" x14ac:dyDescent="0.25">
      <c r="A691" s="656">
        <f>A689+1</f>
        <v>178</v>
      </c>
      <c r="B691" s="284" t="s">
        <v>41</v>
      </c>
      <c r="C691" s="379" t="s">
        <v>72</v>
      </c>
      <c r="D691" s="515">
        <f>D689+1</f>
        <v>1102</v>
      </c>
      <c r="E691" s="427" t="s">
        <v>171</v>
      </c>
      <c r="F691" s="718">
        <v>1</v>
      </c>
      <c r="G691" s="924"/>
      <c r="H691" s="928" t="s">
        <v>2776</v>
      </c>
      <c r="I691" s="923"/>
      <c r="J691" s="198" t="str">
        <f t="shared" ref="J691:J699" si="47">IF(LEN(F691)&gt;0,"","Belum Terisi")</f>
        <v/>
      </c>
      <c r="K691" s="31"/>
      <c r="L691" s="31"/>
      <c r="M691" s="21"/>
      <c r="N691" s="21"/>
      <c r="O691" s="21"/>
      <c r="P691" s="21"/>
      <c r="Q691" s="21"/>
      <c r="R691" s="21"/>
      <c r="S691" s="21"/>
      <c r="T691" s="21"/>
      <c r="U691" s="21"/>
      <c r="V691" s="21"/>
    </row>
    <row r="692" spans="1:22" s="2" customFormat="1" ht="30" customHeight="1" x14ac:dyDescent="0.25">
      <c r="A692" s="657"/>
      <c r="B692" s="284" t="s">
        <v>139</v>
      </c>
      <c r="C692" s="379" t="s">
        <v>73</v>
      </c>
      <c r="D692" s="515">
        <f t="shared" ref="D692:D717" si="48">D691+1</f>
        <v>1103</v>
      </c>
      <c r="E692" s="427" t="s">
        <v>171</v>
      </c>
      <c r="F692" s="717">
        <v>1</v>
      </c>
      <c r="G692" s="924"/>
      <c r="H692" s="928" t="s">
        <v>2776</v>
      </c>
      <c r="I692" s="923"/>
      <c r="J692" s="198" t="str">
        <f t="shared" si="47"/>
        <v/>
      </c>
      <c r="K692" s="31"/>
      <c r="L692" s="43"/>
      <c r="M692" s="21"/>
      <c r="N692" s="21"/>
      <c r="O692" s="21"/>
      <c r="P692" s="21"/>
      <c r="Q692" s="21"/>
      <c r="R692" s="21"/>
      <c r="S692" s="21"/>
      <c r="T692" s="21"/>
      <c r="U692" s="21"/>
      <c r="V692" s="21"/>
    </row>
    <row r="693" spans="1:22" s="2" customFormat="1" ht="30" customHeight="1" x14ac:dyDescent="0.25">
      <c r="A693" s="656">
        <f>A691+1</f>
        <v>179</v>
      </c>
      <c r="B693" s="284" t="s">
        <v>41</v>
      </c>
      <c r="C693" s="379" t="s">
        <v>1926</v>
      </c>
      <c r="D693" s="515">
        <f t="shared" si="48"/>
        <v>1104</v>
      </c>
      <c r="E693" s="427" t="s">
        <v>171</v>
      </c>
      <c r="F693" s="693" t="s">
        <v>285</v>
      </c>
      <c r="G693" s="924"/>
      <c r="H693" s="923" t="str">
        <f>IF(F693="ada","ISLAM","")</f>
        <v>ISLAM</v>
      </c>
      <c r="I693" s="923"/>
      <c r="J693" s="198" t="str">
        <f t="shared" si="47"/>
        <v/>
      </c>
      <c r="K693" s="31"/>
      <c r="L693" s="43"/>
      <c r="M693" s="21"/>
      <c r="N693" s="21"/>
      <c r="O693" s="21"/>
      <c r="P693" s="21"/>
      <c r="Q693" s="21"/>
      <c r="R693" s="21"/>
      <c r="S693" s="21"/>
      <c r="T693" s="21"/>
      <c r="U693" s="21"/>
      <c r="V693" s="21"/>
    </row>
    <row r="694" spans="1:22" s="2" customFormat="1" ht="30" customHeight="1" x14ac:dyDescent="0.25">
      <c r="A694" s="658"/>
      <c r="B694" s="284" t="s">
        <v>139</v>
      </c>
      <c r="C694" s="379" t="s">
        <v>1964</v>
      </c>
      <c r="D694" s="515">
        <f t="shared" si="48"/>
        <v>1105</v>
      </c>
      <c r="E694" s="427" t="s">
        <v>171</v>
      </c>
      <c r="F694" s="694" t="s">
        <v>263</v>
      </c>
      <c r="G694" s="924"/>
      <c r="H694" s="923" t="str">
        <f>IF(F694="ada","KRISTEN PROTESTAN","")</f>
        <v/>
      </c>
      <c r="I694" s="923"/>
      <c r="J694" s="198" t="str">
        <f t="shared" si="47"/>
        <v/>
      </c>
      <c r="K694" s="31"/>
      <c r="L694" s="43"/>
      <c r="M694" s="21"/>
      <c r="N694" s="21"/>
      <c r="O694" s="21"/>
      <c r="P694" s="21"/>
      <c r="Q694" s="21"/>
      <c r="R694" s="21"/>
      <c r="S694" s="21"/>
      <c r="T694" s="21"/>
      <c r="U694" s="21"/>
      <c r="V694" s="21"/>
    </row>
    <row r="695" spans="1:22" s="2" customFormat="1" ht="30" customHeight="1" x14ac:dyDescent="0.25">
      <c r="A695" s="658"/>
      <c r="B695" s="284" t="s">
        <v>251</v>
      </c>
      <c r="C695" s="379" t="s">
        <v>1993</v>
      </c>
      <c r="D695" s="515">
        <f t="shared" si="48"/>
        <v>1106</v>
      </c>
      <c r="E695" s="427" t="s">
        <v>171</v>
      </c>
      <c r="F695" s="694" t="s">
        <v>263</v>
      </c>
      <c r="G695" s="924"/>
      <c r="H695" s="923" t="str">
        <f>IF(F695="ada","KATOLIK","")</f>
        <v/>
      </c>
      <c r="I695" s="923"/>
      <c r="J695" s="198" t="str">
        <f t="shared" si="47"/>
        <v/>
      </c>
      <c r="K695" s="31"/>
      <c r="L695" s="31"/>
      <c r="M695" s="21"/>
      <c r="N695" s="21"/>
      <c r="O695" s="21"/>
      <c r="P695" s="21"/>
      <c r="Q695" s="21"/>
      <c r="R695" s="21"/>
      <c r="S695" s="21"/>
      <c r="T695" s="21"/>
      <c r="U695" s="21"/>
      <c r="V695" s="21"/>
    </row>
    <row r="696" spans="1:22" s="2" customFormat="1" ht="30" customHeight="1" x14ac:dyDescent="0.25">
      <c r="A696" s="658"/>
      <c r="B696" s="284" t="s">
        <v>255</v>
      </c>
      <c r="C696" s="379" t="s">
        <v>2005</v>
      </c>
      <c r="D696" s="515">
        <f t="shared" si="48"/>
        <v>1107</v>
      </c>
      <c r="E696" s="427" t="s">
        <v>171</v>
      </c>
      <c r="F696" s="694" t="s">
        <v>263</v>
      </c>
      <c r="G696" s="924"/>
      <c r="H696" s="923" t="str">
        <f>IF(F696="ada","BUDDHA","")</f>
        <v/>
      </c>
      <c r="I696" s="923"/>
      <c r="J696" s="198" t="str">
        <f t="shared" si="47"/>
        <v/>
      </c>
      <c r="K696" s="31"/>
      <c r="L696" s="43"/>
      <c r="M696" s="21"/>
      <c r="N696" s="21"/>
      <c r="O696" s="21"/>
      <c r="P696" s="21"/>
      <c r="Q696" s="21"/>
      <c r="R696" s="21"/>
      <c r="S696" s="21"/>
      <c r="T696" s="21"/>
      <c r="U696" s="21"/>
      <c r="V696" s="21"/>
    </row>
    <row r="697" spans="1:22" s="2" customFormat="1" ht="30" customHeight="1" x14ac:dyDescent="0.25">
      <c r="A697" s="658"/>
      <c r="B697" s="284" t="s">
        <v>252</v>
      </c>
      <c r="C697" s="379" t="s">
        <v>2017</v>
      </c>
      <c r="D697" s="515">
        <f t="shared" si="48"/>
        <v>1108</v>
      </c>
      <c r="E697" s="427" t="s">
        <v>171</v>
      </c>
      <c r="F697" s="694" t="s">
        <v>263</v>
      </c>
      <c r="G697" s="924"/>
      <c r="H697" s="923" t="str">
        <f>IF(F697="ada","HINDU","")</f>
        <v/>
      </c>
      <c r="I697" s="923"/>
      <c r="J697" s="198" t="str">
        <f t="shared" si="47"/>
        <v/>
      </c>
      <c r="K697" s="31"/>
      <c r="L697" s="43"/>
      <c r="M697" s="21"/>
      <c r="N697" s="21"/>
      <c r="O697" s="21"/>
      <c r="P697" s="21"/>
      <c r="Q697" s="21"/>
      <c r="R697" s="21"/>
      <c r="S697" s="21"/>
      <c r="T697" s="21"/>
      <c r="U697" s="21"/>
      <c r="V697" s="21"/>
    </row>
    <row r="698" spans="1:22" s="2" customFormat="1" ht="30" customHeight="1" x14ac:dyDescent="0.25">
      <c r="A698" s="658"/>
      <c r="B698" s="284" t="s">
        <v>253</v>
      </c>
      <c r="C698" s="379" t="s">
        <v>2022</v>
      </c>
      <c r="D698" s="515">
        <f t="shared" si="48"/>
        <v>1109</v>
      </c>
      <c r="E698" s="427" t="s">
        <v>171</v>
      </c>
      <c r="F698" s="694" t="s">
        <v>263</v>
      </c>
      <c r="G698" s="924"/>
      <c r="H698" s="923" t="str">
        <f>IF(F698="ada","KONG HU CU","")</f>
        <v/>
      </c>
      <c r="I698" s="923"/>
      <c r="J698" s="198" t="str">
        <f t="shared" si="47"/>
        <v/>
      </c>
      <c r="K698" s="31"/>
      <c r="L698" s="43"/>
      <c r="M698" s="21"/>
      <c r="N698" s="21"/>
      <c r="O698" s="21"/>
      <c r="P698" s="21"/>
      <c r="Q698" s="21"/>
      <c r="R698" s="21"/>
      <c r="S698" s="21"/>
      <c r="T698" s="21"/>
      <c r="U698" s="21"/>
      <c r="V698" s="21"/>
    </row>
    <row r="699" spans="1:22" s="2" customFormat="1" ht="30" customHeight="1" x14ac:dyDescent="0.25">
      <c r="A699" s="658"/>
      <c r="B699" s="284" t="s">
        <v>254</v>
      </c>
      <c r="C699" s="379" t="s">
        <v>2031</v>
      </c>
      <c r="D699" s="515">
        <f t="shared" si="48"/>
        <v>1110</v>
      </c>
      <c r="E699" s="427" t="s">
        <v>171</v>
      </c>
      <c r="F699" s="694" t="s">
        <v>263</v>
      </c>
      <c r="G699" s="924"/>
      <c r="H699" s="923" t="str">
        <f>IF(F699="ada",F700,"")</f>
        <v/>
      </c>
      <c r="I699" s="923"/>
      <c r="J699" s="198" t="str">
        <f t="shared" si="47"/>
        <v/>
      </c>
      <c r="K699" s="31"/>
      <c r="L699" s="31"/>
      <c r="M699" s="21"/>
      <c r="N699" s="21"/>
      <c r="O699" s="21"/>
      <c r="P699" s="21"/>
      <c r="Q699" s="21"/>
      <c r="R699" s="21"/>
      <c r="S699" s="21"/>
      <c r="T699" s="21"/>
      <c r="U699" s="21"/>
      <c r="V699" s="21"/>
    </row>
    <row r="700" spans="1:22" s="2" customFormat="1" ht="30" customHeight="1" x14ac:dyDescent="0.25">
      <c r="A700" s="657"/>
      <c r="B700" s="284" t="s">
        <v>256</v>
      </c>
      <c r="C700" s="379" t="s">
        <v>2083</v>
      </c>
      <c r="D700" s="515">
        <f t="shared" si="48"/>
        <v>1111</v>
      </c>
      <c r="E700" s="427" t="s">
        <v>174</v>
      </c>
      <c r="F700" s="697" t="s">
        <v>263</v>
      </c>
      <c r="G700" s="924"/>
      <c r="H700" s="925"/>
      <c r="I700" s="923"/>
      <c r="J700" s="198" t="str">
        <f>IF(F700="","Belum Terisi",IF(AND(F699="Ada",OR(F700="Ada",F700="Tidak Ada",F700="-")),"CEK",""))</f>
        <v/>
      </c>
      <c r="K700" s="31" t="str">
        <f>IF(J700="CEK",F699&amp;" Penganut Agama Lain di Desa","")</f>
        <v/>
      </c>
      <c r="L700" s="43"/>
      <c r="M700" s="21"/>
      <c r="N700" s="21"/>
      <c r="O700" s="21"/>
      <c r="P700" s="21"/>
      <c r="Q700" s="21"/>
      <c r="R700" s="21"/>
      <c r="S700" s="21"/>
      <c r="T700" s="21"/>
      <c r="U700" s="21"/>
      <c r="V700" s="21"/>
    </row>
    <row r="701" spans="1:22" s="2" customFormat="1" ht="30" customHeight="1" x14ac:dyDescent="0.25">
      <c r="A701" s="656">
        <f>A693+1</f>
        <v>180</v>
      </c>
      <c r="B701" s="284" t="s">
        <v>41</v>
      </c>
      <c r="C701" s="379" t="s">
        <v>1927</v>
      </c>
      <c r="D701" s="515">
        <f t="shared" si="48"/>
        <v>1112</v>
      </c>
      <c r="E701" s="427" t="s">
        <v>171</v>
      </c>
      <c r="F701" s="693" t="s">
        <v>285</v>
      </c>
      <c r="G701" s="924"/>
      <c r="H701" s="922"/>
      <c r="I701" s="923"/>
      <c r="J701" s="198" t="str">
        <f t="shared" ref="J701:J709" si="49">IF(LEN(F701)&gt;0,"","Belum Terisi")</f>
        <v/>
      </c>
      <c r="K701" s="31"/>
      <c r="L701" s="43"/>
      <c r="M701" s="21"/>
      <c r="N701" s="847" t="s">
        <v>668</v>
      </c>
      <c r="O701" s="21"/>
      <c r="P701" s="21"/>
      <c r="Q701" s="21"/>
      <c r="R701" s="21"/>
      <c r="S701" s="21"/>
      <c r="T701" s="21"/>
      <c r="U701" s="21"/>
      <c r="V701" s="21"/>
    </row>
    <row r="702" spans="1:22" s="2" customFormat="1" ht="30" customHeight="1" x14ac:dyDescent="0.25">
      <c r="A702" s="658"/>
      <c r="B702" s="284" t="s">
        <v>139</v>
      </c>
      <c r="C702" s="379" t="s">
        <v>1965</v>
      </c>
      <c r="D702" s="515">
        <f t="shared" si="48"/>
        <v>1113</v>
      </c>
      <c r="E702" s="427" t="s">
        <v>171</v>
      </c>
      <c r="F702" s="694" t="s">
        <v>263</v>
      </c>
      <c r="G702" s="924"/>
      <c r="H702" s="922"/>
      <c r="I702" s="923"/>
      <c r="J702" s="198" t="str">
        <f t="shared" si="49"/>
        <v/>
      </c>
      <c r="K702" s="31"/>
      <c r="L702" s="43"/>
      <c r="M702" s="21"/>
      <c r="N702" s="21" t="s">
        <v>668</v>
      </c>
      <c r="O702" s="21"/>
      <c r="P702" s="21"/>
      <c r="Q702" s="21"/>
      <c r="R702" s="21"/>
      <c r="S702" s="21"/>
      <c r="T702" s="21"/>
      <c r="U702" s="21"/>
      <c r="V702" s="21"/>
    </row>
    <row r="703" spans="1:22" s="2" customFormat="1" ht="30" customHeight="1" x14ac:dyDescent="0.25">
      <c r="A703" s="658"/>
      <c r="B703" s="284" t="s">
        <v>251</v>
      </c>
      <c r="C703" s="379" t="s">
        <v>1994</v>
      </c>
      <c r="D703" s="515">
        <f t="shared" si="48"/>
        <v>1114</v>
      </c>
      <c r="E703" s="427" t="s">
        <v>171</v>
      </c>
      <c r="F703" s="694" t="s">
        <v>263</v>
      </c>
      <c r="G703" s="924"/>
      <c r="H703" s="922"/>
      <c r="I703" s="923"/>
      <c r="J703" s="198" t="str">
        <f t="shared" si="49"/>
        <v/>
      </c>
      <c r="K703" s="31"/>
      <c r="L703" s="31"/>
      <c r="M703" s="21"/>
      <c r="N703" s="21" t="s">
        <v>668</v>
      </c>
      <c r="O703" s="21"/>
      <c r="P703" s="21"/>
      <c r="Q703" s="21"/>
      <c r="R703" s="21"/>
      <c r="S703" s="21"/>
      <c r="T703" s="21"/>
      <c r="U703" s="21"/>
      <c r="V703" s="21"/>
    </row>
    <row r="704" spans="1:22" s="2" customFormat="1" ht="30" customHeight="1" x14ac:dyDescent="0.25">
      <c r="A704" s="658"/>
      <c r="B704" s="284" t="s">
        <v>255</v>
      </c>
      <c r="C704" s="379" t="s">
        <v>2006</v>
      </c>
      <c r="D704" s="515">
        <f t="shared" si="48"/>
        <v>1115</v>
      </c>
      <c r="E704" s="427" t="s">
        <v>171</v>
      </c>
      <c r="F704" s="694" t="s">
        <v>263</v>
      </c>
      <c r="G704" s="924"/>
      <c r="H704" s="922"/>
      <c r="I704" s="923"/>
      <c r="J704" s="198" t="str">
        <f t="shared" si="49"/>
        <v/>
      </c>
      <c r="K704" s="31"/>
      <c r="L704" s="43"/>
      <c r="M704" s="21"/>
      <c r="N704" s="21" t="s">
        <v>668</v>
      </c>
      <c r="O704" s="21"/>
      <c r="P704" s="21"/>
      <c r="Q704" s="21"/>
      <c r="R704" s="21"/>
      <c r="S704" s="21"/>
      <c r="T704" s="21"/>
      <c r="U704" s="21"/>
      <c r="V704" s="21"/>
    </row>
    <row r="705" spans="1:22" s="2" customFormat="1" ht="30" customHeight="1" x14ac:dyDescent="0.25">
      <c r="A705" s="658"/>
      <c r="B705" s="284" t="s">
        <v>252</v>
      </c>
      <c r="C705" s="379" t="s">
        <v>2018</v>
      </c>
      <c r="D705" s="515">
        <f t="shared" si="48"/>
        <v>1116</v>
      </c>
      <c r="E705" s="427" t="s">
        <v>171</v>
      </c>
      <c r="F705" s="694" t="s">
        <v>263</v>
      </c>
      <c r="G705" s="924"/>
      <c r="H705" s="922"/>
      <c r="I705" s="923"/>
      <c r="J705" s="198" t="str">
        <f t="shared" si="49"/>
        <v/>
      </c>
      <c r="K705" s="31"/>
      <c r="L705" s="43"/>
      <c r="M705" s="21"/>
      <c r="N705" s="21" t="s">
        <v>668</v>
      </c>
      <c r="O705" s="21"/>
      <c r="P705" s="21"/>
      <c r="Q705" s="21"/>
      <c r="R705" s="21"/>
      <c r="S705" s="21"/>
      <c r="T705" s="21"/>
      <c r="U705" s="21"/>
      <c r="V705" s="21"/>
    </row>
    <row r="706" spans="1:22" s="2" customFormat="1" ht="30" customHeight="1" x14ac:dyDescent="0.25">
      <c r="A706" s="658"/>
      <c r="B706" s="284" t="s">
        <v>253</v>
      </c>
      <c r="C706" s="379" t="s">
        <v>2023</v>
      </c>
      <c r="D706" s="515">
        <f t="shared" si="48"/>
        <v>1117</v>
      </c>
      <c r="E706" s="427" t="s">
        <v>171</v>
      </c>
      <c r="F706" s="694" t="s">
        <v>263</v>
      </c>
      <c r="G706" s="924"/>
      <c r="H706" s="922"/>
      <c r="I706" s="923"/>
      <c r="J706" s="198" t="str">
        <f t="shared" si="49"/>
        <v/>
      </c>
      <c r="K706" s="31"/>
      <c r="L706" s="43"/>
      <c r="M706" s="21"/>
      <c r="N706" s="21" t="s">
        <v>668</v>
      </c>
      <c r="O706" s="21"/>
      <c r="P706" s="21"/>
      <c r="Q706" s="21"/>
      <c r="R706" s="21"/>
      <c r="S706" s="21"/>
      <c r="T706" s="21"/>
      <c r="U706" s="21"/>
      <c r="V706" s="21"/>
    </row>
    <row r="707" spans="1:22" s="2" customFormat="1" ht="30" customHeight="1" x14ac:dyDescent="0.25">
      <c r="A707" s="659"/>
      <c r="B707" s="284" t="s">
        <v>254</v>
      </c>
      <c r="C707" s="379" t="s">
        <v>74</v>
      </c>
      <c r="D707" s="515">
        <f t="shared" si="48"/>
        <v>1118</v>
      </c>
      <c r="E707" s="427" t="s">
        <v>171</v>
      </c>
      <c r="F707" s="697" t="s">
        <v>2827</v>
      </c>
      <c r="G707" s="924"/>
      <c r="H707" s="922"/>
      <c r="I707" s="922"/>
      <c r="J707" s="198" t="str">
        <f t="shared" si="49"/>
        <v/>
      </c>
      <c r="K707" s="31"/>
      <c r="L707" s="31"/>
      <c r="M707" s="21"/>
      <c r="N707" s="21"/>
      <c r="O707" s="21"/>
      <c r="P707" s="21"/>
      <c r="Q707" s="21"/>
      <c r="R707" s="21"/>
      <c r="S707" s="21"/>
      <c r="T707" s="21"/>
      <c r="U707" s="21"/>
      <c r="V707" s="21"/>
    </row>
    <row r="708" spans="1:22" s="2" customFormat="1" ht="40.15" customHeight="1" x14ac:dyDescent="0.25">
      <c r="A708" s="660">
        <f>A701+1</f>
        <v>181</v>
      </c>
      <c r="B708" s="380"/>
      <c r="C708" s="381" t="s">
        <v>785</v>
      </c>
      <c r="D708" s="515">
        <f t="shared" si="48"/>
        <v>1119</v>
      </c>
      <c r="E708" s="427" t="s">
        <v>171</v>
      </c>
      <c r="F708" s="699" t="s">
        <v>285</v>
      </c>
      <c r="G708" s="924"/>
      <c r="H708" s="922"/>
      <c r="I708" s="922"/>
      <c r="J708" s="198" t="str">
        <f t="shared" si="49"/>
        <v/>
      </c>
      <c r="K708" s="31"/>
      <c r="L708" s="31"/>
      <c r="M708" s="21"/>
      <c r="N708" s="21" t="s">
        <v>668</v>
      </c>
      <c r="O708" s="21"/>
      <c r="P708" s="21"/>
      <c r="Q708" s="21"/>
      <c r="R708" s="21"/>
      <c r="S708" s="21"/>
      <c r="T708" s="21"/>
      <c r="U708" s="21"/>
      <c r="V708" s="21"/>
    </row>
    <row r="709" spans="1:22" s="2" customFormat="1" ht="30" customHeight="1" x14ac:dyDescent="0.25">
      <c r="A709" s="656">
        <f>A708+1</f>
        <v>182</v>
      </c>
      <c r="B709" s="284" t="s">
        <v>41</v>
      </c>
      <c r="C709" s="379" t="s">
        <v>1928</v>
      </c>
      <c r="D709" s="515">
        <f t="shared" si="48"/>
        <v>1120</v>
      </c>
      <c r="E709" s="427" t="s">
        <v>171</v>
      </c>
      <c r="F709" s="693" t="s">
        <v>263</v>
      </c>
      <c r="G709" s="924"/>
      <c r="H709" s="922"/>
      <c r="I709" s="923"/>
      <c r="J709" s="198" t="str">
        <f t="shared" si="49"/>
        <v/>
      </c>
      <c r="K709" s="31"/>
      <c r="L709" s="43"/>
      <c r="M709" s="21"/>
      <c r="N709" s="847" t="s">
        <v>668</v>
      </c>
      <c r="O709" s="21"/>
      <c r="P709" s="21"/>
      <c r="Q709" s="21"/>
      <c r="R709" s="21"/>
      <c r="S709" s="21"/>
      <c r="T709" s="21"/>
      <c r="U709" s="21"/>
      <c r="V709" s="21"/>
    </row>
    <row r="710" spans="1:22" s="2" customFormat="1" ht="30" customHeight="1" x14ac:dyDescent="0.25">
      <c r="A710" s="658"/>
      <c r="B710" s="284" t="s">
        <v>139</v>
      </c>
      <c r="C710" s="379" t="s">
        <v>1966</v>
      </c>
      <c r="D710" s="515">
        <f t="shared" si="48"/>
        <v>1121</v>
      </c>
      <c r="E710" s="427" t="s">
        <v>70</v>
      </c>
      <c r="F710" s="716">
        <v>0</v>
      </c>
      <c r="G710" s="924"/>
      <c r="H710" s="928" t="s">
        <v>857</v>
      </c>
      <c r="I710" s="923"/>
      <c r="J710" s="198" t="str">
        <f>IF(F710="","Belum Terisi",IF(AND($F$709="Tidak Ada",F710&lt;&gt;0),"CEK",""))</f>
        <v/>
      </c>
      <c r="K710" s="31" t="str">
        <f>IF(J710="CEK",$F$709&amp;" Kelompok Seni Adat dan Budaya di Desa","")</f>
        <v/>
      </c>
      <c r="L710" s="43"/>
      <c r="M710" s="21"/>
      <c r="N710" s="847" t="s">
        <v>668</v>
      </c>
      <c r="O710" s="21"/>
      <c r="P710" s="21"/>
      <c r="Q710" s="21"/>
      <c r="R710" s="21"/>
      <c r="S710" s="21"/>
      <c r="T710" s="21"/>
      <c r="U710" s="21"/>
      <c r="V710" s="21"/>
    </row>
    <row r="711" spans="1:22" s="2" customFormat="1" ht="30" customHeight="1" x14ac:dyDescent="0.25">
      <c r="A711" s="657"/>
      <c r="B711" s="284" t="s">
        <v>251</v>
      </c>
      <c r="C711" s="379" t="s">
        <v>1995</v>
      </c>
      <c r="D711" s="515">
        <f t="shared" si="48"/>
        <v>1122</v>
      </c>
      <c r="E711" s="427" t="s">
        <v>71</v>
      </c>
      <c r="F711" s="717">
        <v>0</v>
      </c>
      <c r="G711" s="924"/>
      <c r="H711" s="928" t="s">
        <v>719</v>
      </c>
      <c r="I711" s="923"/>
      <c r="J711" s="198" t="str">
        <f>IF(F711="","Belum Terisi",IF(AND($F$709="Tidak Ada",F711&lt;&gt;0),"CEK",IF(AND(F709="Ada",F711=0),"CEK","")))</f>
        <v/>
      </c>
      <c r="K711" s="31" t="str">
        <f>IF(J711="CEK",$F$709&amp;" Kelompok Seni Adat dan Budaya di Desa","")</f>
        <v/>
      </c>
      <c r="L711" s="43"/>
      <c r="M711" s="21"/>
      <c r="N711" s="847" t="s">
        <v>668</v>
      </c>
      <c r="O711" s="21"/>
      <c r="P711" s="21"/>
      <c r="Q711" s="21"/>
      <c r="R711" s="21"/>
      <c r="S711" s="21"/>
      <c r="T711" s="21"/>
      <c r="U711" s="21"/>
      <c r="V711" s="21"/>
    </row>
    <row r="712" spans="1:22" s="2" customFormat="1" ht="30" customHeight="1" x14ac:dyDescent="0.25">
      <c r="A712" s="656">
        <f>A709+1</f>
        <v>183</v>
      </c>
      <c r="B712" s="284" t="s">
        <v>41</v>
      </c>
      <c r="C712" s="379" t="s">
        <v>1929</v>
      </c>
      <c r="D712" s="515">
        <f t="shared" si="48"/>
        <v>1123</v>
      </c>
      <c r="E712" s="427" t="s">
        <v>171</v>
      </c>
      <c r="F712" s="693" t="s">
        <v>285</v>
      </c>
      <c r="G712" s="924"/>
      <c r="H712" s="922"/>
      <c r="I712" s="923"/>
      <c r="J712" s="198" t="str">
        <f t="shared" ref="J712:J717" si="50">IF(LEN(F712)&gt;0,"","Belum Terisi")</f>
        <v/>
      </c>
      <c r="K712" s="31"/>
      <c r="L712" s="31"/>
      <c r="M712" s="21"/>
      <c r="N712" s="21"/>
      <c r="O712" s="21"/>
      <c r="P712" s="21"/>
      <c r="Q712" s="21"/>
      <c r="R712" s="21"/>
      <c r="S712" s="21"/>
      <c r="T712" s="21"/>
      <c r="U712" s="21"/>
      <c r="V712" s="21"/>
    </row>
    <row r="713" spans="1:22" s="2" customFormat="1" ht="30" customHeight="1" x14ac:dyDescent="0.25">
      <c r="A713" s="658"/>
      <c r="B713" s="284" t="s">
        <v>139</v>
      </c>
      <c r="C713" s="379" t="s">
        <v>1967</v>
      </c>
      <c r="D713" s="515">
        <f t="shared" si="48"/>
        <v>1124</v>
      </c>
      <c r="E713" s="427" t="s">
        <v>171</v>
      </c>
      <c r="F713" s="694" t="s">
        <v>285</v>
      </c>
      <c r="G713" s="924"/>
      <c r="H713" s="922"/>
      <c r="I713" s="923"/>
      <c r="J713" s="198" t="str">
        <f t="shared" si="50"/>
        <v/>
      </c>
      <c r="K713" s="31"/>
      <c r="L713" s="43"/>
      <c r="M713" s="21"/>
      <c r="N713" s="21"/>
      <c r="O713" s="21"/>
      <c r="P713" s="21"/>
      <c r="Q713" s="21"/>
      <c r="R713" s="21"/>
      <c r="S713" s="21"/>
      <c r="T713" s="21"/>
      <c r="U713" s="21"/>
      <c r="V713" s="21"/>
    </row>
    <row r="714" spans="1:22" s="2" customFormat="1" ht="30" customHeight="1" x14ac:dyDescent="0.25">
      <c r="A714" s="658"/>
      <c r="B714" s="284" t="s">
        <v>251</v>
      </c>
      <c r="C714" s="379" t="s">
        <v>1996</v>
      </c>
      <c r="D714" s="515">
        <f t="shared" si="48"/>
        <v>1125</v>
      </c>
      <c r="E714" s="427" t="s">
        <v>171</v>
      </c>
      <c r="F714" s="694" t="s">
        <v>285</v>
      </c>
      <c r="G714" s="924"/>
      <c r="H714" s="922"/>
      <c r="I714" s="923"/>
      <c r="J714" s="198" t="str">
        <f t="shared" si="50"/>
        <v/>
      </c>
      <c r="K714" s="31"/>
      <c r="L714" s="43"/>
      <c r="M714" s="21"/>
      <c r="N714" s="21"/>
      <c r="O714" s="21"/>
      <c r="P714" s="21"/>
      <c r="Q714" s="21"/>
      <c r="R714" s="21"/>
      <c r="S714" s="21"/>
      <c r="T714" s="21"/>
      <c r="U714" s="21"/>
      <c r="V714" s="21"/>
    </row>
    <row r="715" spans="1:22" s="2" customFormat="1" ht="30" customHeight="1" x14ac:dyDescent="0.25">
      <c r="A715" s="658"/>
      <c r="B715" s="284" t="s">
        <v>255</v>
      </c>
      <c r="C715" s="379" t="s">
        <v>2007</v>
      </c>
      <c r="D715" s="515">
        <f t="shared" si="48"/>
        <v>1126</v>
      </c>
      <c r="E715" s="427" t="s">
        <v>171</v>
      </c>
      <c r="F715" s="694" t="s">
        <v>285</v>
      </c>
      <c r="G715" s="924"/>
      <c r="H715" s="922"/>
      <c r="I715" s="923"/>
      <c r="J715" s="198" t="str">
        <f t="shared" si="50"/>
        <v/>
      </c>
      <c r="K715" s="31"/>
      <c r="L715" s="43"/>
      <c r="M715" s="21"/>
      <c r="N715" s="21"/>
      <c r="O715" s="21"/>
      <c r="P715" s="21"/>
      <c r="Q715" s="21"/>
      <c r="R715" s="21"/>
      <c r="S715" s="21"/>
      <c r="T715" s="21"/>
      <c r="U715" s="21"/>
      <c r="V715" s="21"/>
    </row>
    <row r="716" spans="1:22" s="2" customFormat="1" ht="40.15" customHeight="1" x14ac:dyDescent="0.25">
      <c r="A716" s="657"/>
      <c r="B716" s="284" t="s">
        <v>252</v>
      </c>
      <c r="C716" s="381" t="s">
        <v>2084</v>
      </c>
      <c r="D716" s="515">
        <f t="shared" si="48"/>
        <v>1127</v>
      </c>
      <c r="E716" s="427" t="s">
        <v>174</v>
      </c>
      <c r="F716" s="697" t="s">
        <v>2828</v>
      </c>
      <c r="G716" s="924"/>
      <c r="H716" s="922"/>
      <c r="I716" s="923"/>
      <c r="J716" s="198" t="str">
        <f t="shared" si="50"/>
        <v/>
      </c>
      <c r="K716" s="31"/>
      <c r="L716" s="31"/>
      <c r="M716" s="21"/>
      <c r="N716" s="21"/>
      <c r="O716" s="21"/>
      <c r="P716" s="21"/>
      <c r="Q716" s="21"/>
      <c r="R716" s="21"/>
      <c r="S716" s="21"/>
      <c r="T716" s="21"/>
      <c r="U716" s="21"/>
      <c r="V716" s="21"/>
    </row>
    <row r="717" spans="1:22" s="2" customFormat="1" ht="30" customHeight="1" x14ac:dyDescent="0.25">
      <c r="A717" s="660">
        <f>A712+1</f>
        <v>184</v>
      </c>
      <c r="B717" s="380"/>
      <c r="C717" s="379" t="s">
        <v>786</v>
      </c>
      <c r="D717" s="515">
        <f t="shared" si="48"/>
        <v>1128</v>
      </c>
      <c r="E717" s="427" t="s">
        <v>171</v>
      </c>
      <c r="F717" s="699" t="s">
        <v>285</v>
      </c>
      <c r="G717" s="924"/>
      <c r="H717" s="922"/>
      <c r="I717" s="923"/>
      <c r="J717" s="198" t="str">
        <f t="shared" si="50"/>
        <v/>
      </c>
      <c r="K717" s="31"/>
      <c r="L717" s="31"/>
      <c r="M717" s="21"/>
      <c r="N717" s="21" t="s">
        <v>668</v>
      </c>
      <c r="O717" s="21"/>
      <c r="P717" s="21"/>
      <c r="Q717" s="21"/>
      <c r="R717" s="21"/>
      <c r="S717" s="21"/>
      <c r="T717" s="21"/>
      <c r="U717" s="21"/>
      <c r="V717" s="21"/>
    </row>
    <row r="718" spans="1:22" s="2" customFormat="1" ht="30" customHeight="1" x14ac:dyDescent="0.25">
      <c r="A718" s="655" t="s">
        <v>75</v>
      </c>
      <c r="B718" s="380"/>
      <c r="C718" s="380"/>
      <c r="D718" s="429"/>
      <c r="E718" s="429"/>
      <c r="F718" s="732"/>
      <c r="G718" s="924"/>
      <c r="H718" s="922"/>
      <c r="I718" s="923"/>
      <c r="J718" s="98"/>
      <c r="K718" s="31"/>
      <c r="L718" s="43"/>
      <c r="M718" s="21"/>
      <c r="N718" s="21"/>
      <c r="O718" s="21"/>
      <c r="P718" s="21"/>
      <c r="Q718" s="21"/>
      <c r="R718" s="21"/>
      <c r="S718" s="21"/>
      <c r="T718" s="21"/>
      <c r="U718" s="21"/>
      <c r="V718" s="21"/>
    </row>
    <row r="719" spans="1:22" s="2" customFormat="1" ht="30" customHeight="1" x14ac:dyDescent="0.25">
      <c r="A719" s="656">
        <f>A717+1</f>
        <v>185</v>
      </c>
      <c r="B719" s="284" t="s">
        <v>41</v>
      </c>
      <c r="C719" s="379" t="s">
        <v>858</v>
      </c>
      <c r="D719" s="100">
        <f>D717+1</f>
        <v>1129</v>
      </c>
      <c r="E719" s="427" t="s">
        <v>171</v>
      </c>
      <c r="F719" s="693" t="s">
        <v>285</v>
      </c>
      <c r="G719" s="924"/>
      <c r="H719" s="922"/>
      <c r="I719" s="923"/>
      <c r="J719" s="198" t="str">
        <f>IF(LEN(F719)&gt;0,"","Belum Terisi")</f>
        <v/>
      </c>
      <c r="K719" s="31"/>
      <c r="L719" s="43"/>
      <c r="M719" s="21"/>
      <c r="N719" s="21" t="s">
        <v>668</v>
      </c>
      <c r="O719" s="21"/>
      <c r="P719" s="21"/>
      <c r="Q719" s="21"/>
      <c r="R719" s="21"/>
      <c r="S719" s="21"/>
      <c r="T719" s="21"/>
      <c r="U719" s="21"/>
      <c r="V719" s="21"/>
    </row>
    <row r="720" spans="1:22" s="2" customFormat="1" ht="30" customHeight="1" x14ac:dyDescent="0.25">
      <c r="A720" s="658"/>
      <c r="B720" s="284" t="s">
        <v>139</v>
      </c>
      <c r="C720" s="379" t="s">
        <v>762</v>
      </c>
      <c r="D720" s="100">
        <f t="shared" ref="D720:D747" si="51">D719+1</f>
        <v>1130</v>
      </c>
      <c r="E720" s="427" t="s">
        <v>171</v>
      </c>
      <c r="F720" s="694" t="s">
        <v>285</v>
      </c>
      <c r="G720" s="924"/>
      <c r="H720" s="922"/>
      <c r="I720" s="923"/>
      <c r="J720" s="198" t="str">
        <f>IF(F720="","Belum Terisi",IF(AND($F$719="Tidak Ada",F720="Ada"),"CEK",""))</f>
        <v/>
      </c>
      <c r="K720" s="31" t="str">
        <f>IF(J720="CEK",$F$719&amp;" Peraturan Terkait Perlindungan Keamanan","")</f>
        <v/>
      </c>
      <c r="L720" s="43"/>
      <c r="M720" s="21"/>
      <c r="N720" s="21" t="s">
        <v>668</v>
      </c>
      <c r="O720" s="21"/>
      <c r="P720" s="21"/>
      <c r="Q720" s="21"/>
      <c r="R720" s="21"/>
      <c r="S720" s="21"/>
      <c r="T720" s="21"/>
      <c r="U720" s="21"/>
      <c r="V720" s="21"/>
    </row>
    <row r="721" spans="1:22" s="2" customFormat="1" ht="40.15" customHeight="1" x14ac:dyDescent="0.25">
      <c r="A721" s="658"/>
      <c r="B721" s="284" t="s">
        <v>251</v>
      </c>
      <c r="C721" s="381" t="s">
        <v>787</v>
      </c>
      <c r="D721" s="100">
        <f t="shared" si="51"/>
        <v>1131</v>
      </c>
      <c r="E721" s="427" t="s">
        <v>171</v>
      </c>
      <c r="F721" s="694" t="s">
        <v>285</v>
      </c>
      <c r="G721" s="924"/>
      <c r="H721" s="922"/>
      <c r="I721" s="923"/>
      <c r="J721" s="198" t="str">
        <f>IF(F721="","Belum Terisi",IF(AND($F$719="Tidak Ada",F721="Ada"),"CEK",""))</f>
        <v/>
      </c>
      <c r="K721" s="31" t="str">
        <f>IF(J721="CEK",$F$719&amp;" Peraturan Terkait Perlindungan Keamanan","")</f>
        <v/>
      </c>
      <c r="L721" s="43"/>
      <c r="M721" s="21"/>
      <c r="N721" s="21" t="s">
        <v>668</v>
      </c>
      <c r="O721" s="21"/>
      <c r="P721" s="21"/>
      <c r="Q721" s="21"/>
      <c r="R721" s="21"/>
      <c r="S721" s="21"/>
      <c r="T721" s="21"/>
      <c r="U721" s="21"/>
      <c r="V721" s="21"/>
    </row>
    <row r="722" spans="1:22" s="2" customFormat="1" ht="40.15" customHeight="1" x14ac:dyDescent="0.25">
      <c r="A722" s="659"/>
      <c r="B722" s="284" t="s">
        <v>255</v>
      </c>
      <c r="C722" s="381" t="s">
        <v>788</v>
      </c>
      <c r="D722" s="100">
        <f t="shared" si="51"/>
        <v>1132</v>
      </c>
      <c r="E722" s="427" t="s">
        <v>171</v>
      </c>
      <c r="F722" s="697" t="s">
        <v>285</v>
      </c>
      <c r="G722" s="924"/>
      <c r="H722" s="922"/>
      <c r="I722" s="923"/>
      <c r="J722" s="198" t="str">
        <f>IF(F722="","Belum Terisi",IF(AND($F$719="Tidak Ada",F722="Ada"),"CEK",""))</f>
        <v/>
      </c>
      <c r="K722" s="31" t="str">
        <f>IF(J722="CEK",$F$719&amp;" Peraturan Terkait Perlindungan Keamanan","")</f>
        <v/>
      </c>
      <c r="L722" s="43"/>
      <c r="M722" s="21"/>
      <c r="N722" s="21" t="s">
        <v>668</v>
      </c>
      <c r="O722" s="21"/>
      <c r="P722" s="21"/>
      <c r="Q722" s="21"/>
      <c r="R722" s="21"/>
      <c r="S722" s="21"/>
      <c r="T722" s="21"/>
      <c r="U722" s="21"/>
      <c r="V722" s="21"/>
    </row>
    <row r="723" spans="1:22" s="2" customFormat="1" ht="40.15" customHeight="1" x14ac:dyDescent="0.25">
      <c r="A723" s="656">
        <f>A719+1</f>
        <v>186</v>
      </c>
      <c r="B723" s="284" t="s">
        <v>41</v>
      </c>
      <c r="C723" s="379" t="s">
        <v>1968</v>
      </c>
      <c r="D723" s="100">
        <f t="shared" si="51"/>
        <v>1133</v>
      </c>
      <c r="E723" s="427" t="s">
        <v>63</v>
      </c>
      <c r="F723" s="730">
        <v>0</v>
      </c>
      <c r="G723" s="924"/>
      <c r="H723" s="922" t="s">
        <v>147</v>
      </c>
      <c r="I723" s="923"/>
      <c r="J723" s="198" t="str">
        <f>IF(F723="","Belum Terisi",IF(AND('INPUTAN DESA ....'!F350="ada",'ISU DESA dan PERDESAAN'!F723=0),"CEK",IF(AND('INPUTAN DESA ....'!F350="Tidak Ada",'ISU DESA dan PERDESAAN'!F723&lt;&gt;0),"CEK","")))</f>
        <v/>
      </c>
      <c r="K723" s="31" t="str">
        <f>IF(J723="CEK",'INPUTAN DESA ....'!F350&amp;" Kejadian Konflik antar Kelompok Masyarakat (Kuesioner Indeks Desa (C 107))","")</f>
        <v/>
      </c>
      <c r="L723" s="31"/>
      <c r="M723" s="21"/>
      <c r="N723" s="21"/>
      <c r="O723" s="21"/>
      <c r="P723" s="21"/>
      <c r="Q723" s="21"/>
      <c r="R723" s="21"/>
      <c r="S723" s="21"/>
      <c r="T723" s="21"/>
      <c r="U723" s="21"/>
      <c r="V723" s="21"/>
    </row>
    <row r="724" spans="1:22" s="2" customFormat="1" ht="40.15" customHeight="1" x14ac:dyDescent="0.25">
      <c r="A724" s="658"/>
      <c r="B724" s="284" t="s">
        <v>139</v>
      </c>
      <c r="C724" s="379" t="s">
        <v>1997</v>
      </c>
      <c r="D724" s="100">
        <f t="shared" si="51"/>
        <v>1134</v>
      </c>
      <c r="E724" s="427" t="s">
        <v>63</v>
      </c>
      <c r="F724" s="730">
        <v>0</v>
      </c>
      <c r="G724" s="924"/>
      <c r="H724" s="922" t="s">
        <v>147</v>
      </c>
      <c r="I724" s="923"/>
      <c r="J724" s="198" t="str">
        <f>IF(F724="","Belum Terisi",IF(AND('INPUTAN DESA ....'!F351="ada",'ISU DESA dan PERDESAAN'!F724=0),"CEK",IF(AND('INPUTAN DESA ....'!F351="Tidak Ada",'ISU DESA dan PERDESAAN'!F724&lt;&gt;0),"CEK","")))</f>
        <v/>
      </c>
      <c r="K724" s="31" t="str">
        <f>IF(J724="CEK",'INPUTAN DESA ....'!F351&amp;" Kejadian Konflik Kelompok Masyarakat antar Desa (Kuesioner Indeks Desa (C 107))","")</f>
        <v/>
      </c>
      <c r="L724" s="43"/>
      <c r="M724" s="21"/>
      <c r="N724" s="21"/>
      <c r="O724" s="21"/>
      <c r="P724" s="21"/>
      <c r="Q724" s="21"/>
      <c r="R724" s="21"/>
      <c r="S724" s="21"/>
      <c r="T724" s="21"/>
      <c r="U724" s="21"/>
      <c r="V724" s="21"/>
    </row>
    <row r="725" spans="1:22" s="2" customFormat="1" ht="40.15" customHeight="1" x14ac:dyDescent="0.25">
      <c r="A725" s="658"/>
      <c r="B725" s="284" t="s">
        <v>251</v>
      </c>
      <c r="C725" s="379" t="s">
        <v>2008</v>
      </c>
      <c r="D725" s="100">
        <f t="shared" si="51"/>
        <v>1135</v>
      </c>
      <c r="E725" s="427" t="s">
        <v>63</v>
      </c>
      <c r="F725" s="730">
        <v>0</v>
      </c>
      <c r="G725" s="924"/>
      <c r="H725" s="922" t="s">
        <v>147</v>
      </c>
      <c r="I725" s="923"/>
      <c r="J725" s="198" t="str">
        <f>IF(F725="","Belum Terisi",IF(AND('INPUTAN DESA ....'!F352="ada",'ISU DESA dan PERDESAAN'!F725=0),"CEK",IF(AND('INPUTAN DESA ....'!F352="Tidak Ada",'ISU DESA dan PERDESAAN'!F725&lt;&gt;0),"CEK","")))</f>
        <v/>
      </c>
      <c r="K725" s="31" t="str">
        <f>IF(J725="CEK",'INPUTAN DESA ....'!F352&amp;" Kejadian Konflik antara Kelompok Masyarakat dengan Aparat Keamanan (Kuesioner Indeks Desa (C 107))","")</f>
        <v/>
      </c>
      <c r="L725" s="31"/>
      <c r="M725" s="21"/>
      <c r="N725" s="21"/>
      <c r="O725" s="21"/>
      <c r="P725" s="21"/>
      <c r="Q725" s="21"/>
      <c r="R725" s="21"/>
      <c r="S725" s="21"/>
      <c r="T725" s="21"/>
      <c r="U725" s="21"/>
      <c r="V725" s="21"/>
    </row>
    <row r="726" spans="1:22" s="2" customFormat="1" ht="40.15" customHeight="1" x14ac:dyDescent="0.25">
      <c r="A726" s="658"/>
      <c r="B726" s="284" t="s">
        <v>255</v>
      </c>
      <c r="C726" s="379" t="s">
        <v>2085</v>
      </c>
      <c r="D726" s="100">
        <f t="shared" si="51"/>
        <v>1136</v>
      </c>
      <c r="E726" s="427" t="s">
        <v>63</v>
      </c>
      <c r="F726" s="730">
        <v>0</v>
      </c>
      <c r="G726" s="924"/>
      <c r="H726" s="922" t="s">
        <v>147</v>
      </c>
      <c r="I726" s="923"/>
      <c r="J726" s="198" t="str">
        <f>IF(F726="","Belum Terisi",IF(AND('INPUTAN DESA ....'!F353="ada",'ISU DESA dan PERDESAAN'!F726=0),"CEK",IF(AND('INPUTAN DESA ....'!F353="Tidak Ada",'ISU DESA dan PERDESAAN'!F726&lt;&gt;0),"CEK","")))</f>
        <v/>
      </c>
      <c r="K726" s="31" t="str">
        <f>IF(J726="CEK",'INPUTAN DESA ....'!F353&amp;" Kejadian Konflik antara Kelompok Masyarakat dengan Aparat Pemerintah (Kuesioner Indeks Desa (C 107))","")</f>
        <v/>
      </c>
      <c r="L726" s="43"/>
      <c r="M726" s="21"/>
      <c r="N726" s="21"/>
      <c r="O726" s="21"/>
      <c r="P726" s="21"/>
      <c r="Q726" s="21"/>
      <c r="R726" s="21"/>
      <c r="S726" s="21"/>
      <c r="T726" s="21"/>
      <c r="U726" s="21"/>
      <c r="V726" s="21"/>
    </row>
    <row r="727" spans="1:22" s="2" customFormat="1" ht="40.15" customHeight="1" x14ac:dyDescent="0.25">
      <c r="A727" s="658"/>
      <c r="B727" s="284" t="s">
        <v>252</v>
      </c>
      <c r="C727" s="379" t="s">
        <v>2609</v>
      </c>
      <c r="D727" s="100">
        <f t="shared" si="51"/>
        <v>1137</v>
      </c>
      <c r="E727" s="427" t="s">
        <v>63</v>
      </c>
      <c r="F727" s="730">
        <v>0</v>
      </c>
      <c r="G727" s="924"/>
      <c r="H727" s="922" t="s">
        <v>147</v>
      </c>
      <c r="I727" s="923"/>
      <c r="J727" s="198" t="str">
        <f>IF(F727="","Belum Terisi",IF(AND('INPUTAN DESA ....'!F354="ada",'ISU DESA dan PERDESAAN'!F727=0),"CEK",IF(AND('INPUTAN DESA ....'!F354="Tidak Ada",'ISU DESA dan PERDESAAN'!F727&lt;&gt;0),"CEK","")))</f>
        <v/>
      </c>
      <c r="K727" s="31" t="str">
        <f>IF(J727="CEK",'INPUTAN DESA ....'!F354&amp;" Kejadian Konflik antar Pelajar/ Mahasiswa/ Pemuda (C 107))","")</f>
        <v/>
      </c>
      <c r="L727" s="31"/>
      <c r="M727" s="21"/>
      <c r="N727" s="21"/>
      <c r="O727" s="21"/>
      <c r="P727" s="21"/>
      <c r="Q727" s="21"/>
      <c r="R727" s="21"/>
      <c r="S727" s="21"/>
      <c r="T727" s="21"/>
      <c r="U727" s="21"/>
      <c r="V727" s="21"/>
    </row>
    <row r="728" spans="1:22" s="2" customFormat="1" ht="40.15" customHeight="1" x14ac:dyDescent="0.25">
      <c r="A728" s="658"/>
      <c r="B728" s="284" t="s">
        <v>253</v>
      </c>
      <c r="C728" s="379" t="s">
        <v>2032</v>
      </c>
      <c r="D728" s="100">
        <f t="shared" si="51"/>
        <v>1138</v>
      </c>
      <c r="E728" s="427" t="s">
        <v>63</v>
      </c>
      <c r="F728" s="730">
        <v>0</v>
      </c>
      <c r="G728" s="924"/>
      <c r="H728" s="922" t="s">
        <v>147</v>
      </c>
      <c r="I728" s="923"/>
      <c r="J728" s="198" t="str">
        <f>IF(F728="","Belum Terisi",IF(AND('INPUTAN DESA ....'!F355="ada",'ISU DESA dan PERDESAAN'!F728=0),"CEK",IF(AND('INPUTAN DESA ....'!F355="Tidak Ada",'ISU DESA dan PERDESAAN'!F728&lt;&gt;0),"CEK","")))</f>
        <v/>
      </c>
      <c r="K728" s="31" t="str">
        <f>IF(J728="CEK",'INPUTAN DESA ....'!F355&amp;" Kejadian Konflik antar Suku (Kuesioner Indeks Desa (C 107))","")</f>
        <v/>
      </c>
      <c r="L728" s="43"/>
      <c r="M728" s="21"/>
      <c r="N728" s="21"/>
      <c r="O728" s="21"/>
      <c r="P728" s="21"/>
      <c r="Q728" s="21"/>
      <c r="R728" s="21"/>
      <c r="S728" s="21"/>
      <c r="T728" s="21"/>
      <c r="U728" s="21"/>
      <c r="V728" s="21"/>
    </row>
    <row r="729" spans="1:22" s="2" customFormat="1" ht="40.15" customHeight="1" x14ac:dyDescent="0.25">
      <c r="A729" s="658"/>
      <c r="B729" s="284" t="s">
        <v>254</v>
      </c>
      <c r="C729" s="379" t="s">
        <v>2038</v>
      </c>
      <c r="D729" s="100">
        <f t="shared" si="51"/>
        <v>1139</v>
      </c>
      <c r="E729" s="427" t="s">
        <v>63</v>
      </c>
      <c r="F729" s="730">
        <v>0</v>
      </c>
      <c r="G729" s="924"/>
      <c r="H729" s="922" t="s">
        <v>147</v>
      </c>
      <c r="I729" s="923"/>
      <c r="J729" s="198" t="str">
        <f>IF(F729="","Belum Terisi",IF(AND('INPUTAN DESA ....'!F356="ada",'ISU DESA dan PERDESAAN'!F729=0),"CEK",IF(AND('INPUTAN DESA ....'!F356="Tidak Ada",'ISU DESA dan PERDESAAN'!F729&lt;&gt;0),"CEK","")))</f>
        <v/>
      </c>
      <c r="K729" s="31" t="str">
        <f>IF(J729="CEK",'INPUTAN DESA ....'!F356&amp;" Kejadian Konflik antar Agama (Kuesioner Indeks Desa (C 107))","")</f>
        <v/>
      </c>
      <c r="L729" s="31"/>
      <c r="M729" s="21"/>
      <c r="N729" s="21"/>
      <c r="O729" s="21"/>
      <c r="P729" s="21"/>
      <c r="Q729" s="21"/>
      <c r="R729" s="21"/>
      <c r="S729" s="21"/>
      <c r="T729" s="21"/>
      <c r="U729" s="21"/>
      <c r="V729" s="21"/>
    </row>
    <row r="730" spans="1:22" s="2" customFormat="1" ht="40.15" customHeight="1" x14ac:dyDescent="0.25">
      <c r="A730" s="658"/>
      <c r="B730" s="284" t="s">
        <v>256</v>
      </c>
      <c r="C730" s="379" t="s">
        <v>2041</v>
      </c>
      <c r="D730" s="100">
        <f t="shared" si="51"/>
        <v>1140</v>
      </c>
      <c r="E730" s="427" t="s">
        <v>63</v>
      </c>
      <c r="F730" s="730">
        <v>0</v>
      </c>
      <c r="G730" s="924"/>
      <c r="H730" s="922" t="s">
        <v>147</v>
      </c>
      <c r="I730" s="923"/>
      <c r="J730" s="198" t="str">
        <f>IF(LEN(F730)&gt;0,"","Belum Terisi")</f>
        <v/>
      </c>
      <c r="K730" s="31"/>
      <c r="L730" s="43"/>
      <c r="M730" s="21"/>
      <c r="N730" s="21"/>
      <c r="O730" s="21"/>
      <c r="P730" s="21"/>
      <c r="Q730" s="21"/>
      <c r="R730" s="21"/>
      <c r="S730" s="21"/>
      <c r="T730" s="21"/>
      <c r="U730" s="21"/>
      <c r="V730" s="21"/>
    </row>
    <row r="731" spans="1:22" s="2" customFormat="1" ht="30" customHeight="1" x14ac:dyDescent="0.25">
      <c r="A731" s="657"/>
      <c r="B731" s="284" t="s">
        <v>257</v>
      </c>
      <c r="C731" s="379" t="s">
        <v>2086</v>
      </c>
      <c r="D731" s="100">
        <f t="shared" si="51"/>
        <v>1141</v>
      </c>
      <c r="E731" s="427" t="s">
        <v>174</v>
      </c>
      <c r="F731" s="699" t="s">
        <v>240</v>
      </c>
      <c r="G731" s="924"/>
      <c r="H731" s="922"/>
      <c r="I731" s="923"/>
      <c r="J731" s="198" t="str">
        <f>IF(F731="","Belum Terisi",IF(AND(F730&lt;&gt;0,F731="-"),"CEK",IF(AND(F730=0,F731&lt;&gt;"-"),"CEK","")))</f>
        <v/>
      </c>
      <c r="K731" s="31" t="str">
        <f>IF(AND(F730&lt;&gt;0,F731="-",J731="CEK"),"Terdapat Konflik Lainnya",IF(AND(F730=0,F731&lt;&gt;"-",J731="CEK"),"Tidak Terdapat Konflik Lainnya",""))</f>
        <v/>
      </c>
      <c r="L731" s="43"/>
      <c r="M731" s="21"/>
      <c r="N731" s="21"/>
      <c r="O731" s="21"/>
      <c r="P731" s="21"/>
      <c r="Q731" s="21"/>
      <c r="R731" s="21"/>
      <c r="S731" s="21"/>
      <c r="T731" s="21"/>
      <c r="U731" s="21"/>
      <c r="V731" s="21"/>
    </row>
    <row r="732" spans="1:22" s="2" customFormat="1" ht="30" customHeight="1" x14ac:dyDescent="0.25">
      <c r="A732" s="656">
        <f>A723+1</f>
        <v>187</v>
      </c>
      <c r="B732" s="284" t="s">
        <v>41</v>
      </c>
      <c r="C732" s="379" t="s">
        <v>2024</v>
      </c>
      <c r="D732" s="100">
        <f t="shared" si="51"/>
        <v>1142</v>
      </c>
      <c r="E732" s="427" t="s">
        <v>171</v>
      </c>
      <c r="F732" s="693" t="s">
        <v>263</v>
      </c>
      <c r="G732" s="924"/>
      <c r="H732" s="922"/>
      <c r="I732" s="923"/>
      <c r="J732" s="198" t="str">
        <f t="shared" ref="J732:J747" si="52">IF(LEN(F732)&gt;0,"","Belum Terisi")</f>
        <v/>
      </c>
      <c r="K732" s="31"/>
      <c r="L732" s="31"/>
      <c r="M732" s="21"/>
      <c r="N732" s="21"/>
      <c r="O732" s="21"/>
      <c r="P732" s="21"/>
      <c r="Q732" s="21"/>
      <c r="R732" s="21"/>
      <c r="S732" s="21"/>
      <c r="T732" s="21"/>
      <c r="U732" s="21"/>
      <c r="V732" s="21"/>
    </row>
    <row r="733" spans="1:22" s="2" customFormat="1" ht="40.15" customHeight="1" x14ac:dyDescent="0.25">
      <c r="A733" s="657"/>
      <c r="B733" s="284" t="s">
        <v>139</v>
      </c>
      <c r="C733" s="381" t="s">
        <v>2087</v>
      </c>
      <c r="D733" s="100">
        <f t="shared" si="51"/>
        <v>1143</v>
      </c>
      <c r="E733" s="427" t="s">
        <v>174</v>
      </c>
      <c r="F733" s="697" t="s">
        <v>240</v>
      </c>
      <c r="G733" s="924"/>
      <c r="H733" s="922"/>
      <c r="I733" s="923"/>
      <c r="J733" s="198" t="str">
        <f t="shared" si="52"/>
        <v/>
      </c>
      <c r="K733" s="31"/>
      <c r="L733" s="43"/>
      <c r="M733" s="21"/>
      <c r="N733" s="21"/>
      <c r="O733" s="21"/>
      <c r="P733" s="21"/>
      <c r="Q733" s="21"/>
      <c r="R733" s="21"/>
      <c r="S733" s="21"/>
      <c r="T733" s="21"/>
      <c r="U733" s="21"/>
      <c r="V733" s="21"/>
    </row>
    <row r="734" spans="1:22" s="2" customFormat="1" ht="30" customHeight="1" x14ac:dyDescent="0.25">
      <c r="A734" s="656">
        <f>A732+1</f>
        <v>188</v>
      </c>
      <c r="B734" s="284" t="s">
        <v>41</v>
      </c>
      <c r="C734" s="379" t="s">
        <v>2033</v>
      </c>
      <c r="D734" s="100">
        <f t="shared" si="51"/>
        <v>1144</v>
      </c>
      <c r="E734" s="427" t="s">
        <v>171</v>
      </c>
      <c r="F734" s="693" t="s">
        <v>263</v>
      </c>
      <c r="G734" s="924"/>
      <c r="H734" s="922"/>
      <c r="I734" s="923"/>
      <c r="J734" s="198" t="str">
        <f t="shared" si="52"/>
        <v/>
      </c>
      <c r="K734" s="31"/>
      <c r="L734" s="43"/>
      <c r="M734" s="21"/>
      <c r="N734" s="21" t="s">
        <v>668</v>
      </c>
      <c r="O734" s="21"/>
      <c r="P734" s="21"/>
      <c r="Q734" s="21"/>
      <c r="R734" s="21"/>
      <c r="S734" s="21"/>
      <c r="T734" s="21"/>
      <c r="U734" s="21"/>
      <c r="V734" s="21"/>
    </row>
    <row r="735" spans="1:22" s="2" customFormat="1" ht="30" customHeight="1" x14ac:dyDescent="0.25">
      <c r="A735" s="657"/>
      <c r="B735" s="284" t="s">
        <v>139</v>
      </c>
      <c r="C735" s="379" t="s">
        <v>78</v>
      </c>
      <c r="D735" s="100">
        <f t="shared" si="51"/>
        <v>1145</v>
      </c>
      <c r="E735" s="427" t="s">
        <v>171</v>
      </c>
      <c r="F735" s="697" t="s">
        <v>263</v>
      </c>
      <c r="G735" s="924"/>
      <c r="H735" s="923">
        <f>COUNTIF($F$736:$F$744,"ada")</f>
        <v>0</v>
      </c>
      <c r="I735" s="923"/>
      <c r="J735" s="198" t="str">
        <f t="shared" si="52"/>
        <v/>
      </c>
      <c r="K735" s="31"/>
      <c r="L735" s="43"/>
      <c r="M735" s="21"/>
      <c r="N735" s="21" t="s">
        <v>668</v>
      </c>
      <c r="O735" s="21"/>
      <c r="P735" s="21"/>
      <c r="Q735" s="21"/>
      <c r="R735" s="21"/>
      <c r="S735" s="21"/>
      <c r="T735" s="21"/>
      <c r="U735" s="21"/>
      <c r="V735" s="21"/>
    </row>
    <row r="736" spans="1:22" s="2" customFormat="1" ht="30" customHeight="1" x14ac:dyDescent="0.25">
      <c r="A736" s="656">
        <f>A734+1</f>
        <v>189</v>
      </c>
      <c r="B736" s="284" t="s">
        <v>41</v>
      </c>
      <c r="C736" s="379" t="s">
        <v>2088</v>
      </c>
      <c r="D736" s="100">
        <f t="shared" si="51"/>
        <v>1146</v>
      </c>
      <c r="E736" s="427" t="s">
        <v>171</v>
      </c>
      <c r="F736" s="699" t="s">
        <v>263</v>
      </c>
      <c r="G736" s="924"/>
      <c r="H736" s="923" t="str">
        <f>IF(F736="ada","PENCURIAN","")</f>
        <v/>
      </c>
      <c r="I736" s="923"/>
      <c r="J736" s="198" t="str">
        <f t="shared" si="52"/>
        <v/>
      </c>
      <c r="K736" s="31"/>
      <c r="L736" s="31"/>
      <c r="M736" s="21"/>
      <c r="N736" s="21" t="s">
        <v>668</v>
      </c>
      <c r="O736" s="21"/>
      <c r="P736" s="21"/>
      <c r="Q736" s="21"/>
      <c r="R736" s="21"/>
      <c r="S736" s="21"/>
      <c r="T736" s="21"/>
      <c r="U736" s="21"/>
      <c r="V736" s="21"/>
    </row>
    <row r="737" spans="1:22" s="2" customFormat="1" ht="30" customHeight="1" x14ac:dyDescent="0.25">
      <c r="A737" s="658"/>
      <c r="B737" s="284" t="s">
        <v>139</v>
      </c>
      <c r="C737" s="379" t="s">
        <v>2089</v>
      </c>
      <c r="D737" s="100">
        <f t="shared" si="51"/>
        <v>1147</v>
      </c>
      <c r="E737" s="427" t="s">
        <v>171</v>
      </c>
      <c r="F737" s="699" t="s">
        <v>263</v>
      </c>
      <c r="G737" s="924"/>
      <c r="H737" s="923" t="str">
        <f>IF(F737="ada","PENIPUAN/ PENGGELAPAN","")</f>
        <v/>
      </c>
      <c r="I737" s="923"/>
      <c r="J737" s="198" t="str">
        <f t="shared" si="52"/>
        <v/>
      </c>
      <c r="K737" s="31"/>
      <c r="L737" s="43"/>
      <c r="M737" s="21"/>
      <c r="N737" s="21" t="s">
        <v>668</v>
      </c>
      <c r="O737" s="21"/>
      <c r="P737" s="21"/>
      <c r="Q737" s="21"/>
      <c r="R737" s="21"/>
      <c r="S737" s="21"/>
      <c r="T737" s="21"/>
      <c r="U737" s="21"/>
      <c r="V737" s="21"/>
    </row>
    <row r="738" spans="1:22" s="2" customFormat="1" ht="30" customHeight="1" x14ac:dyDescent="0.25">
      <c r="A738" s="658"/>
      <c r="B738" s="284" t="s">
        <v>251</v>
      </c>
      <c r="C738" s="379" t="s">
        <v>2090</v>
      </c>
      <c r="D738" s="100">
        <f t="shared" si="51"/>
        <v>1148</v>
      </c>
      <c r="E738" s="427" t="s">
        <v>171</v>
      </c>
      <c r="F738" s="699" t="s">
        <v>263</v>
      </c>
      <c r="G738" s="924"/>
      <c r="H738" s="923" t="str">
        <f>IF(F738="ada","PENGANIAYAAN","")</f>
        <v/>
      </c>
      <c r="I738" s="923"/>
      <c r="J738" s="198" t="str">
        <f t="shared" si="52"/>
        <v/>
      </c>
      <c r="K738" s="31"/>
      <c r="L738" s="43"/>
      <c r="M738" s="21"/>
      <c r="N738" s="21" t="s">
        <v>668</v>
      </c>
      <c r="O738" s="21"/>
      <c r="P738" s="21"/>
      <c r="Q738" s="21"/>
      <c r="R738" s="21"/>
      <c r="S738" s="21"/>
      <c r="T738" s="21"/>
      <c r="U738" s="21"/>
      <c r="V738" s="21"/>
    </row>
    <row r="739" spans="1:22" s="2" customFormat="1" ht="30" customHeight="1" x14ac:dyDescent="0.25">
      <c r="A739" s="658"/>
      <c r="B739" s="284" t="s">
        <v>255</v>
      </c>
      <c r="C739" s="379" t="s">
        <v>2091</v>
      </c>
      <c r="D739" s="100">
        <f t="shared" si="51"/>
        <v>1149</v>
      </c>
      <c r="E739" s="427" t="s">
        <v>171</v>
      </c>
      <c r="F739" s="699" t="s">
        <v>263</v>
      </c>
      <c r="G739" s="924"/>
      <c r="H739" s="923" t="str">
        <f>IF(F739="ada","PEMBAKARAN","")</f>
        <v/>
      </c>
      <c r="I739" s="923"/>
      <c r="J739" s="198" t="str">
        <f t="shared" si="52"/>
        <v/>
      </c>
      <c r="K739" s="31"/>
      <c r="L739" s="43"/>
      <c r="M739" s="21"/>
      <c r="N739" s="21" t="s">
        <v>668</v>
      </c>
      <c r="O739" s="21"/>
      <c r="P739" s="21"/>
      <c r="Q739" s="21"/>
      <c r="R739" s="21"/>
      <c r="S739" s="21"/>
      <c r="T739" s="21"/>
      <c r="U739" s="21"/>
      <c r="V739" s="21"/>
    </row>
    <row r="740" spans="1:22" s="2" customFormat="1" ht="30" customHeight="1" x14ac:dyDescent="0.25">
      <c r="A740" s="658"/>
      <c r="B740" s="284" t="s">
        <v>252</v>
      </c>
      <c r="C740" s="379" t="s">
        <v>2092</v>
      </c>
      <c r="D740" s="100">
        <f t="shared" si="51"/>
        <v>1150</v>
      </c>
      <c r="E740" s="427" t="s">
        <v>171</v>
      </c>
      <c r="F740" s="699" t="s">
        <v>263</v>
      </c>
      <c r="G740" s="924"/>
      <c r="H740" s="923" t="str">
        <f>IF(F740="ada","PEMERKOSAAN","")</f>
        <v/>
      </c>
      <c r="I740" s="923"/>
      <c r="J740" s="198" t="str">
        <f t="shared" si="52"/>
        <v/>
      </c>
      <c r="K740" s="31"/>
      <c r="L740" s="31"/>
      <c r="M740" s="21"/>
      <c r="N740" s="21" t="s">
        <v>668</v>
      </c>
      <c r="O740" s="21"/>
      <c r="P740" s="21"/>
      <c r="Q740" s="21"/>
      <c r="R740" s="21"/>
      <c r="S740" s="21"/>
      <c r="T740" s="21"/>
      <c r="U740" s="21"/>
      <c r="V740" s="21"/>
    </row>
    <row r="741" spans="1:22" s="2" customFormat="1" ht="30" customHeight="1" x14ac:dyDescent="0.25">
      <c r="A741" s="658"/>
      <c r="B741" s="284" t="s">
        <v>253</v>
      </c>
      <c r="C741" s="379" t="s">
        <v>2093</v>
      </c>
      <c r="D741" s="100">
        <f t="shared" si="51"/>
        <v>1151</v>
      </c>
      <c r="E741" s="427" t="s">
        <v>171</v>
      </c>
      <c r="F741" s="699" t="s">
        <v>263</v>
      </c>
      <c r="G741" s="924"/>
      <c r="H741" s="923" t="str">
        <f>IF(F741="ada","PEREDARAN NARKOBA/ PENYALAHGUNAAN","")</f>
        <v/>
      </c>
      <c r="I741" s="923"/>
      <c r="J741" s="198" t="str">
        <f t="shared" si="52"/>
        <v/>
      </c>
      <c r="K741" s="31"/>
      <c r="L741" s="43"/>
      <c r="M741" s="21"/>
      <c r="N741" s="21" t="s">
        <v>668</v>
      </c>
      <c r="O741" s="21"/>
      <c r="P741" s="21"/>
      <c r="Q741" s="21"/>
      <c r="R741" s="21"/>
      <c r="S741" s="21"/>
      <c r="T741" s="21"/>
      <c r="U741" s="21"/>
      <c r="V741" s="21"/>
    </row>
    <row r="742" spans="1:22" s="2" customFormat="1" ht="30" customHeight="1" x14ac:dyDescent="0.25">
      <c r="A742" s="658"/>
      <c r="B742" s="284" t="s">
        <v>254</v>
      </c>
      <c r="C742" s="379" t="s">
        <v>2094</v>
      </c>
      <c r="D742" s="100">
        <f t="shared" si="51"/>
        <v>1152</v>
      </c>
      <c r="E742" s="427" t="s">
        <v>171</v>
      </c>
      <c r="F742" s="699" t="s">
        <v>263</v>
      </c>
      <c r="G742" s="924"/>
      <c r="H742" s="923" t="str">
        <f>IF(F742="ada","PERJUDIAN","")</f>
        <v/>
      </c>
      <c r="I742" s="923"/>
      <c r="J742" s="198" t="str">
        <f t="shared" si="52"/>
        <v/>
      </c>
      <c r="K742" s="31"/>
      <c r="L742" s="43"/>
      <c r="M742" s="21"/>
      <c r="N742" s="21" t="s">
        <v>668</v>
      </c>
      <c r="O742" s="21"/>
      <c r="P742" s="21"/>
      <c r="Q742" s="21"/>
      <c r="R742" s="21"/>
      <c r="S742" s="21"/>
      <c r="T742" s="21"/>
      <c r="U742" s="21"/>
      <c r="V742" s="21"/>
    </row>
    <row r="743" spans="1:22" s="2" customFormat="1" ht="30" customHeight="1" x14ac:dyDescent="0.25">
      <c r="A743" s="658"/>
      <c r="B743" s="284" t="s">
        <v>256</v>
      </c>
      <c r="C743" s="379" t="s">
        <v>2095</v>
      </c>
      <c r="D743" s="100">
        <f t="shared" si="51"/>
        <v>1153</v>
      </c>
      <c r="E743" s="427" t="s">
        <v>171</v>
      </c>
      <c r="F743" s="699" t="s">
        <v>263</v>
      </c>
      <c r="G743" s="924"/>
      <c r="H743" s="923" t="str">
        <f>IF(F743="ada","PEMBUNUHAN","")</f>
        <v/>
      </c>
      <c r="I743" s="923"/>
      <c r="J743" s="198" t="str">
        <f t="shared" si="52"/>
        <v/>
      </c>
      <c r="K743" s="31"/>
      <c r="L743" s="43"/>
      <c r="M743" s="21"/>
      <c r="N743" s="21" t="s">
        <v>668</v>
      </c>
      <c r="O743" s="21"/>
      <c r="P743" s="21"/>
      <c r="Q743" s="21"/>
      <c r="R743" s="21"/>
      <c r="S743" s="21"/>
      <c r="T743" s="21"/>
      <c r="U743" s="21"/>
      <c r="V743" s="21"/>
    </row>
    <row r="744" spans="1:22" s="2" customFormat="1" ht="30" customHeight="1" x14ac:dyDescent="0.25">
      <c r="A744" s="658"/>
      <c r="B744" s="284" t="s">
        <v>257</v>
      </c>
      <c r="C744" s="379" t="s">
        <v>2096</v>
      </c>
      <c r="D744" s="100">
        <f t="shared" si="51"/>
        <v>1154</v>
      </c>
      <c r="E744" s="427" t="s">
        <v>171</v>
      </c>
      <c r="F744" s="699" t="s">
        <v>263</v>
      </c>
      <c r="G744" s="924"/>
      <c r="H744" s="923" t="str">
        <f>IF(F744="ada","PERDAGANGAN ORANG","")</f>
        <v/>
      </c>
      <c r="I744" s="923"/>
      <c r="J744" s="198" t="str">
        <f t="shared" si="52"/>
        <v/>
      </c>
      <c r="K744" s="31"/>
      <c r="L744" s="31"/>
      <c r="M744" s="21"/>
      <c r="N744" s="21" t="s">
        <v>668</v>
      </c>
      <c r="O744" s="21"/>
      <c r="P744" s="21"/>
      <c r="Q744" s="21"/>
      <c r="R744" s="21"/>
      <c r="S744" s="21"/>
      <c r="T744" s="21"/>
      <c r="U744" s="21"/>
      <c r="V744" s="21"/>
    </row>
    <row r="745" spans="1:22" s="2" customFormat="1" ht="30" customHeight="1" x14ac:dyDescent="0.25">
      <c r="A745" s="657"/>
      <c r="B745" s="284" t="s">
        <v>259</v>
      </c>
      <c r="C745" s="379" t="s">
        <v>1969</v>
      </c>
      <c r="D745" s="100">
        <f t="shared" si="51"/>
        <v>1155</v>
      </c>
      <c r="E745" s="427" t="s">
        <v>171</v>
      </c>
      <c r="F745" s="699" t="s">
        <v>263</v>
      </c>
      <c r="G745" s="924"/>
      <c r="H745" s="922"/>
      <c r="I745" s="923"/>
      <c r="J745" s="198" t="str">
        <f t="shared" si="52"/>
        <v/>
      </c>
      <c r="K745" s="31"/>
      <c r="L745" s="43"/>
      <c r="M745" s="21"/>
      <c r="N745" s="21" t="s">
        <v>668</v>
      </c>
      <c r="O745" s="21"/>
      <c r="P745" s="21"/>
      <c r="Q745" s="21"/>
      <c r="R745" s="21"/>
      <c r="S745" s="21"/>
      <c r="T745" s="21"/>
      <c r="U745" s="21"/>
      <c r="V745" s="21"/>
    </row>
    <row r="746" spans="1:22" s="2" customFormat="1" ht="30" customHeight="1" x14ac:dyDescent="0.25">
      <c r="A746" s="656">
        <f>A736+1</f>
        <v>190</v>
      </c>
      <c r="B746" s="284" t="s">
        <v>41</v>
      </c>
      <c r="C746" s="379" t="s">
        <v>76</v>
      </c>
      <c r="D746" s="100">
        <f t="shared" si="51"/>
        <v>1156</v>
      </c>
      <c r="E746" s="427" t="s">
        <v>171</v>
      </c>
      <c r="F746" s="693" t="s">
        <v>285</v>
      </c>
      <c r="G746" s="924"/>
      <c r="H746" s="922"/>
      <c r="I746" s="923"/>
      <c r="J746" s="198" t="str">
        <f t="shared" si="52"/>
        <v/>
      </c>
      <c r="K746" s="31"/>
      <c r="L746" s="43"/>
      <c r="M746" s="21"/>
      <c r="N746" s="847" t="s">
        <v>668</v>
      </c>
      <c r="O746" s="21"/>
      <c r="P746" s="21"/>
      <c r="Q746" s="21"/>
      <c r="R746" s="21"/>
      <c r="S746" s="21"/>
      <c r="T746" s="21"/>
      <c r="U746" s="21"/>
      <c r="V746" s="21"/>
    </row>
    <row r="747" spans="1:22" s="2" customFormat="1" ht="30" customHeight="1" x14ac:dyDescent="0.25">
      <c r="A747" s="657"/>
      <c r="B747" s="284" t="s">
        <v>139</v>
      </c>
      <c r="C747" s="379" t="s">
        <v>77</v>
      </c>
      <c r="D747" s="100">
        <f t="shared" si="51"/>
        <v>1157</v>
      </c>
      <c r="E747" s="427" t="s">
        <v>171</v>
      </c>
      <c r="F747" s="697" t="s">
        <v>285</v>
      </c>
      <c r="G747" s="924"/>
      <c r="H747" s="922"/>
      <c r="I747" s="923"/>
      <c r="J747" s="198" t="str">
        <f t="shared" si="52"/>
        <v/>
      </c>
      <c r="K747" s="31"/>
      <c r="L747" s="43"/>
      <c r="M747" s="21"/>
      <c r="N747" s="847" t="s">
        <v>668</v>
      </c>
      <c r="O747" s="21"/>
      <c r="P747" s="21"/>
      <c r="Q747" s="21"/>
      <c r="R747" s="21"/>
      <c r="S747" s="21"/>
      <c r="T747" s="21"/>
      <c r="U747" s="21"/>
      <c r="V747" s="21"/>
    </row>
    <row r="748" spans="1:22" s="2" customFormat="1" ht="30" customHeight="1" x14ac:dyDescent="0.25">
      <c r="A748" s="655" t="s">
        <v>2098</v>
      </c>
      <c r="B748" s="378"/>
      <c r="C748" s="378"/>
      <c r="D748" s="503"/>
      <c r="E748" s="429"/>
      <c r="F748" s="714"/>
      <c r="G748" s="924"/>
      <c r="H748" s="922"/>
      <c r="I748" s="923"/>
      <c r="J748" s="198"/>
      <c r="K748" s="31"/>
      <c r="L748" s="43"/>
      <c r="M748" s="21"/>
      <c r="N748" s="21"/>
      <c r="O748" s="21"/>
      <c r="P748" s="21"/>
      <c r="Q748" s="21"/>
      <c r="R748" s="21"/>
      <c r="S748" s="21"/>
      <c r="T748" s="21"/>
      <c r="U748" s="21"/>
      <c r="V748" s="21"/>
    </row>
    <row r="749" spans="1:22" s="2" customFormat="1" ht="40.15" customHeight="1" x14ac:dyDescent="0.25">
      <c r="A749" s="656">
        <f>A746+1</f>
        <v>191</v>
      </c>
      <c r="B749" s="284" t="s">
        <v>41</v>
      </c>
      <c r="C749" s="379" t="s">
        <v>2097</v>
      </c>
      <c r="D749" s="100">
        <f>D747+1</f>
        <v>1158</v>
      </c>
      <c r="E749" s="427" t="s">
        <v>171</v>
      </c>
      <c r="F749" s="693" t="s">
        <v>285</v>
      </c>
      <c r="G749" s="924"/>
      <c r="H749" s="923">
        <v>2</v>
      </c>
      <c r="I749" s="923"/>
      <c r="J749" s="198" t="str">
        <f>IF(F749="","Belum Terisi",IF(AND(F749="Ada",'INPUTAN DESA ....'!F375=1),"CEK",""))</f>
        <v/>
      </c>
      <c r="K749" s="31" t="str">
        <f>IF(AND(J749="CEK",'INPUTAN DESA ....'!F375=1),"Tidak Tersedia Fasilitas Perpustakaan/ Taman Bacaan Masyarakat di Desa (Kuesioner ID no. C 201 a )","")</f>
        <v/>
      </c>
      <c r="L749" s="43"/>
      <c r="M749" s="21"/>
      <c r="N749" s="21"/>
      <c r="O749" s="21"/>
      <c r="P749" s="21"/>
      <c r="Q749" s="21"/>
      <c r="R749" s="21"/>
      <c r="S749" s="21"/>
      <c r="T749" s="21"/>
      <c r="U749" s="21"/>
      <c r="V749" s="21"/>
    </row>
    <row r="750" spans="1:22" s="2" customFormat="1" ht="40.15" customHeight="1" x14ac:dyDescent="0.25">
      <c r="A750" s="658"/>
      <c r="B750" s="284" t="s">
        <v>139</v>
      </c>
      <c r="C750" s="379" t="s">
        <v>1998</v>
      </c>
      <c r="D750" s="100">
        <f>D749+1</f>
        <v>1159</v>
      </c>
      <c r="E750" s="463" t="s">
        <v>171</v>
      </c>
      <c r="F750" s="820">
        <v>1</v>
      </c>
      <c r="G750" s="927"/>
      <c r="H750" s="928"/>
      <c r="I750" s="923"/>
      <c r="J750" s="198" t="str">
        <f>IF(F750="","Belum Terisi",IF(AND(F750="Tidak Ada",OR('INPUTAN DESA ....'!F376=2,'INPUTAN DESA ....'!F376=3,'INPUTAN DESA ....'!F376=4,'INPUTAN DESA ....'!F376=5)),"CEK",IF(AND('INPUTAN DESA ....'!F376=1,'ISU DESA dan PERDESAAN'!F750&lt;&gt;"Tidak Ada"),"CEK","")))</f>
        <v/>
      </c>
      <c r="K750" s="31" t="str">
        <f>IF(AND(J750="CEK",'INPUTAN DESA ....'!F376&gt;1),"Terdapat Hari Operasional Taman Bacaan Masyarakat/ Perpusatakaan Desa ( CEK Kuesioner ID no. C 201 b )",IF(AND(J750="CEK",'INPUTAN DESA ....'!F376=1)," Tidak Terdapat Hari Operasional Taman Bacaan Masyarakat/ Perpusatakaan Desa ( CEK Kuesioner ID no. C 201 b )",""))</f>
        <v/>
      </c>
      <c r="L750" s="31"/>
      <c r="M750" s="21"/>
      <c r="N750" s="21"/>
      <c r="O750" s="21"/>
      <c r="P750" s="21"/>
      <c r="Q750" s="21"/>
      <c r="R750" s="21"/>
      <c r="S750" s="21"/>
      <c r="T750" s="21"/>
      <c r="U750" s="21"/>
      <c r="V750" s="21" t="s">
        <v>636</v>
      </c>
    </row>
    <row r="751" spans="1:22" s="2" customFormat="1" ht="30" customHeight="1" x14ac:dyDescent="0.25">
      <c r="A751" s="658"/>
      <c r="B751" s="284" t="s">
        <v>251</v>
      </c>
      <c r="C751" s="379" t="s">
        <v>745</v>
      </c>
      <c r="D751" s="100">
        <f t="shared" ref="D751:D753" si="53">D750+1</f>
        <v>1160</v>
      </c>
      <c r="E751" s="463" t="s">
        <v>171</v>
      </c>
      <c r="F751" s="694" t="s">
        <v>263</v>
      </c>
      <c r="G751" s="924"/>
      <c r="H751" s="923"/>
      <c r="I751" s="923"/>
      <c r="J751" s="198" t="str">
        <f>IF(LEN(F751)&gt;0,"","Belum Terisi")</f>
        <v/>
      </c>
      <c r="K751" s="31"/>
      <c r="L751" s="43"/>
      <c r="M751" s="21"/>
      <c r="N751" s="21"/>
      <c r="O751" s="21" t="s">
        <v>740</v>
      </c>
      <c r="P751" s="21"/>
      <c r="Q751" s="21"/>
      <c r="R751" s="21"/>
      <c r="S751" s="21"/>
      <c r="T751" s="21"/>
      <c r="U751" s="21"/>
      <c r="V751" s="21"/>
    </row>
    <row r="752" spans="1:22" s="2" customFormat="1" ht="30" customHeight="1" x14ac:dyDescent="0.25">
      <c r="A752" s="658"/>
      <c r="B752" s="284" t="s">
        <v>255</v>
      </c>
      <c r="C752" s="379" t="s">
        <v>744</v>
      </c>
      <c r="D752" s="100">
        <f t="shared" si="53"/>
        <v>1161</v>
      </c>
      <c r="E752" s="463" t="s">
        <v>171</v>
      </c>
      <c r="F752" s="694" t="s">
        <v>263</v>
      </c>
      <c r="G752" s="924"/>
      <c r="H752" s="922"/>
      <c r="I752" s="923"/>
      <c r="J752" s="198" t="str">
        <f>IF(LEN(F752)&gt;0,"","Belum Terisi")</f>
        <v/>
      </c>
      <c r="K752" s="31"/>
      <c r="L752" s="43"/>
      <c r="M752" s="21"/>
      <c r="N752" s="21"/>
      <c r="O752" s="21" t="s">
        <v>740</v>
      </c>
      <c r="P752" s="21"/>
      <c r="Q752" s="21"/>
      <c r="R752" s="21"/>
      <c r="S752" s="21"/>
      <c r="T752" s="21"/>
      <c r="U752" s="21"/>
      <c r="V752" s="21"/>
    </row>
    <row r="753" spans="1:22" s="2" customFormat="1" ht="30" customHeight="1" x14ac:dyDescent="0.25">
      <c r="A753" s="657"/>
      <c r="B753" s="284" t="s">
        <v>252</v>
      </c>
      <c r="C753" s="379" t="s">
        <v>1930</v>
      </c>
      <c r="D753" s="100">
        <f t="shared" si="53"/>
        <v>1162</v>
      </c>
      <c r="E753" s="427" t="s">
        <v>171</v>
      </c>
      <c r="F753" s="697" t="s">
        <v>285</v>
      </c>
      <c r="G753" s="924"/>
      <c r="H753" s="922"/>
      <c r="I753" s="923"/>
      <c r="J753" s="198" t="str">
        <f>IF(LEN(F753)&gt;0,"","Belum Terisi")</f>
        <v/>
      </c>
      <c r="K753" s="31"/>
      <c r="L753" s="43"/>
      <c r="M753" s="21"/>
      <c r="N753" s="21"/>
      <c r="O753" s="21"/>
      <c r="P753" s="21"/>
      <c r="Q753" s="21"/>
      <c r="R753" s="21"/>
      <c r="S753" s="21"/>
      <c r="T753" s="21"/>
      <c r="U753" s="21"/>
      <c r="V753" s="21"/>
    </row>
    <row r="754" spans="1:22" s="2" customFormat="1" ht="30" customHeight="1" x14ac:dyDescent="0.25">
      <c r="A754" s="655" t="s">
        <v>79</v>
      </c>
      <c r="B754" s="378"/>
      <c r="C754" s="378"/>
      <c r="D754" s="503"/>
      <c r="E754" s="429"/>
      <c r="F754" s="714"/>
      <c r="G754" s="924"/>
      <c r="H754" s="922"/>
      <c r="I754" s="923"/>
      <c r="J754" s="98"/>
      <c r="K754" s="31"/>
      <c r="L754" s="31"/>
      <c r="M754" s="21"/>
      <c r="N754" s="21"/>
      <c r="O754" s="21"/>
      <c r="P754" s="21"/>
      <c r="Q754" s="21"/>
      <c r="R754" s="21"/>
      <c r="S754" s="21"/>
      <c r="T754" s="21"/>
      <c r="U754" s="21"/>
      <c r="V754" s="21"/>
    </row>
    <row r="755" spans="1:22" s="2" customFormat="1" ht="30" customHeight="1" x14ac:dyDescent="0.25">
      <c r="A755" s="656">
        <f>A749+1</f>
        <v>192</v>
      </c>
      <c r="B755" s="284" t="s">
        <v>41</v>
      </c>
      <c r="C755" s="379" t="s">
        <v>2099</v>
      </c>
      <c r="D755" s="100">
        <f>D753+1</f>
        <v>1163</v>
      </c>
      <c r="E755" s="427" t="s">
        <v>33</v>
      </c>
      <c r="F755" s="730">
        <v>0</v>
      </c>
      <c r="G755" s="924"/>
      <c r="H755" s="922" t="s">
        <v>562</v>
      </c>
      <c r="I755" s="923"/>
      <c r="J755" s="198" t="str">
        <f t="shared" ref="J755:J767" si="54">IF(LEN(F755)&gt;0,"","Belum Terisi")</f>
        <v/>
      </c>
      <c r="K755" s="31"/>
      <c r="L755" s="31"/>
      <c r="M755" s="21"/>
      <c r="N755" s="21"/>
      <c r="O755" s="21"/>
      <c r="P755" s="21"/>
      <c r="Q755" s="21"/>
      <c r="R755" s="21"/>
      <c r="S755" s="21"/>
      <c r="T755" s="21"/>
      <c r="U755" s="21"/>
      <c r="V755" s="21"/>
    </row>
    <row r="756" spans="1:22" s="2" customFormat="1" ht="30" customHeight="1" x14ac:dyDescent="0.25">
      <c r="A756" s="658"/>
      <c r="B756" s="284" t="s">
        <v>139</v>
      </c>
      <c r="C756" s="379" t="s">
        <v>2100</v>
      </c>
      <c r="D756" s="100">
        <f t="shared" ref="D756:D778" si="55">D755+1</f>
        <v>1164</v>
      </c>
      <c r="E756" s="427" t="s">
        <v>33</v>
      </c>
      <c r="F756" s="730">
        <v>1</v>
      </c>
      <c r="G756" s="924"/>
      <c r="H756" s="922" t="s">
        <v>562</v>
      </c>
      <c r="I756" s="923"/>
      <c r="J756" s="198" t="str">
        <f t="shared" si="54"/>
        <v/>
      </c>
      <c r="K756" s="31"/>
      <c r="L756" s="43"/>
      <c r="M756" s="21"/>
      <c r="N756" s="21"/>
      <c r="O756" s="21"/>
      <c r="P756" s="21"/>
      <c r="Q756" s="21"/>
      <c r="R756" s="21"/>
      <c r="S756" s="21"/>
      <c r="T756" s="21"/>
      <c r="U756" s="21"/>
      <c r="V756" s="21"/>
    </row>
    <row r="757" spans="1:22" s="2" customFormat="1" ht="30" customHeight="1" x14ac:dyDescent="0.25">
      <c r="A757" s="658"/>
      <c r="B757" s="284" t="s">
        <v>251</v>
      </c>
      <c r="C757" s="379" t="s">
        <v>2101</v>
      </c>
      <c r="D757" s="100">
        <f t="shared" si="55"/>
        <v>1165</v>
      </c>
      <c r="E757" s="427" t="s">
        <v>33</v>
      </c>
      <c r="F757" s="730">
        <v>0</v>
      </c>
      <c r="G757" s="924"/>
      <c r="H757" s="922" t="s">
        <v>562</v>
      </c>
      <c r="I757" s="923"/>
      <c r="J757" s="198" t="str">
        <f t="shared" si="54"/>
        <v/>
      </c>
      <c r="K757" s="31"/>
      <c r="L757" s="43"/>
      <c r="M757" s="21"/>
      <c r="N757" s="21"/>
      <c r="O757" s="21"/>
      <c r="P757" s="21"/>
      <c r="Q757" s="21"/>
      <c r="R757" s="21"/>
      <c r="S757" s="21"/>
      <c r="T757" s="21"/>
      <c r="U757" s="21"/>
      <c r="V757" s="21"/>
    </row>
    <row r="758" spans="1:22" s="2" customFormat="1" ht="30" customHeight="1" x14ac:dyDescent="0.25">
      <c r="A758" s="658"/>
      <c r="B758" s="284" t="s">
        <v>255</v>
      </c>
      <c r="C758" s="379" t="s">
        <v>2102</v>
      </c>
      <c r="D758" s="100">
        <f t="shared" si="55"/>
        <v>1166</v>
      </c>
      <c r="E758" s="427" t="s">
        <v>33</v>
      </c>
      <c r="F758" s="730">
        <v>0</v>
      </c>
      <c r="G758" s="924"/>
      <c r="H758" s="922" t="s">
        <v>562</v>
      </c>
      <c r="I758" s="923"/>
      <c r="J758" s="198" t="str">
        <f t="shared" si="54"/>
        <v/>
      </c>
      <c r="K758" s="31"/>
      <c r="L758" s="43"/>
      <c r="M758" s="21"/>
      <c r="N758" s="21"/>
      <c r="O758" s="21"/>
      <c r="P758" s="21"/>
      <c r="Q758" s="21"/>
      <c r="R758" s="21"/>
      <c r="S758" s="21"/>
      <c r="T758" s="21"/>
      <c r="U758" s="21"/>
      <c r="V758" s="21"/>
    </row>
    <row r="759" spans="1:22" s="2" customFormat="1" ht="30" customHeight="1" x14ac:dyDescent="0.25">
      <c r="A759" s="658"/>
      <c r="B759" s="284" t="s">
        <v>252</v>
      </c>
      <c r="C759" s="379" t="s">
        <v>2103</v>
      </c>
      <c r="D759" s="100">
        <f t="shared" si="55"/>
        <v>1167</v>
      </c>
      <c r="E759" s="427" t="s">
        <v>33</v>
      </c>
      <c r="F759" s="730">
        <v>0</v>
      </c>
      <c r="G759" s="924"/>
      <c r="H759" s="922" t="s">
        <v>562</v>
      </c>
      <c r="I759" s="923"/>
      <c r="J759" s="198" t="str">
        <f t="shared" si="54"/>
        <v/>
      </c>
      <c r="K759" s="31"/>
      <c r="L759" s="31"/>
      <c r="M759" s="21"/>
      <c r="N759" s="21"/>
      <c r="O759" s="21"/>
      <c r="P759" s="21"/>
      <c r="Q759" s="21"/>
      <c r="R759" s="21"/>
      <c r="S759" s="21"/>
      <c r="T759" s="21"/>
      <c r="U759" s="21"/>
      <c r="V759" s="21"/>
    </row>
    <row r="760" spans="1:22" s="2" customFormat="1" ht="30" customHeight="1" x14ac:dyDescent="0.25">
      <c r="A760" s="658"/>
      <c r="B760" s="284" t="s">
        <v>253</v>
      </c>
      <c r="C760" s="379" t="s">
        <v>2104</v>
      </c>
      <c r="D760" s="100">
        <f t="shared" si="55"/>
        <v>1168</v>
      </c>
      <c r="E760" s="427" t="s">
        <v>33</v>
      </c>
      <c r="F760" s="730">
        <v>0</v>
      </c>
      <c r="G760" s="924"/>
      <c r="H760" s="922" t="s">
        <v>562</v>
      </c>
      <c r="I760" s="923"/>
      <c r="J760" s="198" t="str">
        <f t="shared" si="54"/>
        <v/>
      </c>
      <c r="K760" s="31"/>
      <c r="L760" s="43"/>
      <c r="M760" s="21"/>
      <c r="N760" s="21"/>
      <c r="O760" s="21"/>
      <c r="P760" s="21"/>
      <c r="Q760" s="21"/>
      <c r="R760" s="21"/>
      <c r="S760" s="21"/>
      <c r="T760" s="21"/>
      <c r="U760" s="21"/>
      <c r="V760" s="21"/>
    </row>
    <row r="761" spans="1:22" s="2" customFormat="1" ht="30" customHeight="1" x14ac:dyDescent="0.25">
      <c r="A761" s="658"/>
      <c r="B761" s="284" t="s">
        <v>254</v>
      </c>
      <c r="C761" s="379" t="s">
        <v>2105</v>
      </c>
      <c r="D761" s="100">
        <f t="shared" si="55"/>
        <v>1169</v>
      </c>
      <c r="E761" s="427" t="s">
        <v>33</v>
      </c>
      <c r="F761" s="730">
        <v>0</v>
      </c>
      <c r="G761" s="924"/>
      <c r="H761" s="922" t="s">
        <v>562</v>
      </c>
      <c r="I761" s="923"/>
      <c r="J761" s="198" t="str">
        <f t="shared" si="54"/>
        <v/>
      </c>
      <c r="K761" s="31"/>
      <c r="L761" s="43"/>
      <c r="M761" s="21"/>
      <c r="N761" s="21"/>
      <c r="O761" s="21"/>
      <c r="P761" s="21"/>
      <c r="Q761" s="21"/>
      <c r="R761" s="21"/>
      <c r="S761" s="21"/>
      <c r="T761" s="21"/>
      <c r="U761" s="21"/>
      <c r="V761" s="21"/>
    </row>
    <row r="762" spans="1:22" s="2" customFormat="1" ht="30" customHeight="1" x14ac:dyDescent="0.25">
      <c r="A762" s="658"/>
      <c r="B762" s="284" t="s">
        <v>256</v>
      </c>
      <c r="C762" s="379" t="s">
        <v>2106</v>
      </c>
      <c r="D762" s="100">
        <f t="shared" si="55"/>
        <v>1170</v>
      </c>
      <c r="E762" s="427" t="s">
        <v>33</v>
      </c>
      <c r="F762" s="730">
        <v>0</v>
      </c>
      <c r="G762" s="924"/>
      <c r="H762" s="922" t="s">
        <v>562</v>
      </c>
      <c r="I762" s="923"/>
      <c r="J762" s="198" t="str">
        <f t="shared" si="54"/>
        <v/>
      </c>
      <c r="K762" s="31"/>
      <c r="L762" s="43"/>
      <c r="M762" s="21"/>
      <c r="N762" s="21"/>
      <c r="O762" s="21"/>
      <c r="P762" s="21"/>
      <c r="Q762" s="21"/>
      <c r="R762" s="21"/>
      <c r="S762" s="21"/>
      <c r="T762" s="21"/>
      <c r="U762" s="21"/>
      <c r="V762" s="21"/>
    </row>
    <row r="763" spans="1:22" s="2" customFormat="1" ht="30" customHeight="1" x14ac:dyDescent="0.25">
      <c r="A763" s="658"/>
      <c r="B763" s="284" t="s">
        <v>257</v>
      </c>
      <c r="C763" s="379" t="s">
        <v>2107</v>
      </c>
      <c r="D763" s="100">
        <f t="shared" si="55"/>
        <v>1171</v>
      </c>
      <c r="E763" s="427" t="s">
        <v>33</v>
      </c>
      <c r="F763" s="730">
        <v>0</v>
      </c>
      <c r="G763" s="924"/>
      <c r="H763" s="922" t="s">
        <v>562</v>
      </c>
      <c r="I763" s="923"/>
      <c r="J763" s="198" t="str">
        <f t="shared" si="54"/>
        <v/>
      </c>
      <c r="K763" s="31"/>
      <c r="L763" s="31"/>
      <c r="M763" s="21"/>
      <c r="N763" s="21"/>
      <c r="O763" s="21"/>
      <c r="P763" s="21"/>
      <c r="Q763" s="21"/>
      <c r="R763" s="21"/>
      <c r="S763" s="21"/>
      <c r="T763" s="21"/>
      <c r="U763" s="21"/>
      <c r="V763" s="21"/>
    </row>
    <row r="764" spans="1:22" s="2" customFormat="1" ht="30" customHeight="1" x14ac:dyDescent="0.25">
      <c r="A764" s="657"/>
      <c r="B764" s="284" t="s">
        <v>259</v>
      </c>
      <c r="C764" s="379" t="s">
        <v>2108</v>
      </c>
      <c r="D764" s="100">
        <f t="shared" si="55"/>
        <v>1172</v>
      </c>
      <c r="E764" s="427" t="s">
        <v>33</v>
      </c>
      <c r="F764" s="730">
        <v>0</v>
      </c>
      <c r="G764" s="924"/>
      <c r="H764" s="922" t="s">
        <v>562</v>
      </c>
      <c r="I764" s="923"/>
      <c r="J764" s="198" t="str">
        <f t="shared" si="54"/>
        <v/>
      </c>
      <c r="K764" s="31"/>
      <c r="L764" s="43"/>
      <c r="M764" s="21"/>
      <c r="N764" s="21"/>
      <c r="O764" s="21"/>
      <c r="P764" s="21"/>
      <c r="Q764" s="21"/>
      <c r="R764" s="21"/>
      <c r="S764" s="21"/>
      <c r="T764" s="21"/>
      <c r="U764" s="21"/>
      <c r="V764" s="21"/>
    </row>
    <row r="765" spans="1:22" s="2" customFormat="1" ht="30" customHeight="1" x14ac:dyDescent="0.25">
      <c r="A765" s="656">
        <f>A755+1</f>
        <v>193</v>
      </c>
      <c r="B765" s="284" t="s">
        <v>41</v>
      </c>
      <c r="C765" s="379" t="s">
        <v>2109</v>
      </c>
      <c r="D765" s="100">
        <f t="shared" si="55"/>
        <v>1173</v>
      </c>
      <c r="E765" s="427" t="s">
        <v>33</v>
      </c>
      <c r="F765" s="730">
        <v>1</v>
      </c>
      <c r="G765" s="924"/>
      <c r="H765" s="922" t="s">
        <v>562</v>
      </c>
      <c r="I765" s="923"/>
      <c r="J765" s="198" t="str">
        <f t="shared" si="54"/>
        <v/>
      </c>
      <c r="K765" s="31"/>
      <c r="L765" s="43"/>
      <c r="M765" s="21"/>
      <c r="N765" s="21"/>
      <c r="O765" s="21"/>
      <c r="P765" s="21"/>
      <c r="Q765" s="21"/>
      <c r="R765" s="21"/>
      <c r="S765" s="21"/>
      <c r="T765" s="21"/>
      <c r="U765" s="21"/>
      <c r="V765" s="21"/>
    </row>
    <row r="766" spans="1:22" s="2" customFormat="1" ht="30" customHeight="1" x14ac:dyDescent="0.25">
      <c r="A766" s="657"/>
      <c r="B766" s="284" t="s">
        <v>139</v>
      </c>
      <c r="C766" s="379" t="s">
        <v>2110</v>
      </c>
      <c r="D766" s="100">
        <f t="shared" si="55"/>
        <v>1174</v>
      </c>
      <c r="E766" s="427" t="s">
        <v>33</v>
      </c>
      <c r="F766" s="730">
        <v>0</v>
      </c>
      <c r="G766" s="924"/>
      <c r="H766" s="922" t="s">
        <v>562</v>
      </c>
      <c r="I766" s="923"/>
      <c r="J766" s="198" t="str">
        <f t="shared" si="54"/>
        <v/>
      </c>
      <c r="K766" s="31"/>
      <c r="L766" s="43"/>
      <c r="M766" s="21"/>
      <c r="N766" s="21"/>
      <c r="O766" s="21"/>
      <c r="P766" s="21"/>
      <c r="Q766" s="21"/>
      <c r="R766" s="21"/>
      <c r="S766" s="21"/>
      <c r="T766" s="21"/>
      <c r="U766" s="21"/>
      <c r="V766" s="21"/>
    </row>
    <row r="767" spans="1:22" s="2" customFormat="1" ht="30" customHeight="1" x14ac:dyDescent="0.25">
      <c r="A767" s="656">
        <f>A765+1</f>
        <v>194</v>
      </c>
      <c r="B767" s="284" t="s">
        <v>41</v>
      </c>
      <c r="C767" s="379" t="s">
        <v>2111</v>
      </c>
      <c r="D767" s="100">
        <f t="shared" si="55"/>
        <v>1175</v>
      </c>
      <c r="E767" s="427" t="s">
        <v>171</v>
      </c>
      <c r="F767" s="699" t="s">
        <v>263</v>
      </c>
      <c r="G767" s="924"/>
      <c r="H767" s="922"/>
      <c r="I767" s="923"/>
      <c r="J767" s="198" t="str">
        <f t="shared" si="54"/>
        <v/>
      </c>
      <c r="K767" s="31"/>
      <c r="L767" s="43"/>
      <c r="M767" s="21"/>
      <c r="N767" s="847" t="s">
        <v>668</v>
      </c>
      <c r="O767" s="21"/>
      <c r="P767" s="21"/>
      <c r="Q767" s="21"/>
      <c r="R767" s="21"/>
      <c r="S767" s="21"/>
      <c r="T767" s="21"/>
      <c r="U767" s="21"/>
      <c r="V767" s="21"/>
    </row>
    <row r="768" spans="1:22" s="2" customFormat="1" ht="30" customHeight="1" x14ac:dyDescent="0.25">
      <c r="A768" s="658"/>
      <c r="B768" s="284" t="s">
        <v>139</v>
      </c>
      <c r="C768" s="379" t="s">
        <v>2112</v>
      </c>
      <c r="D768" s="100">
        <f t="shared" si="55"/>
        <v>1176</v>
      </c>
      <c r="E768" s="427" t="s">
        <v>171</v>
      </c>
      <c r="F768" s="699" t="s">
        <v>263</v>
      </c>
      <c r="G768" s="924"/>
      <c r="H768" s="922"/>
      <c r="I768" s="923"/>
      <c r="J768" s="198" t="str">
        <f>IF(F768="","Belum Terisi",IF(AND($F$767="Tidak Ada",F768="Ada"),"CEK",""))</f>
        <v/>
      </c>
      <c r="K768" s="31" t="str">
        <f>IF(J768="CEK",$F$767&amp;" Aturan/ Kegiatan Layanan Khusus Penyandang Difabel","")</f>
        <v/>
      </c>
      <c r="L768" s="43"/>
      <c r="M768" s="21"/>
      <c r="N768" s="847" t="s">
        <v>668</v>
      </c>
      <c r="O768" s="21"/>
      <c r="P768" s="21"/>
      <c r="Q768" s="21"/>
      <c r="R768" s="21"/>
      <c r="S768" s="21"/>
      <c r="T768" s="21"/>
      <c r="U768" s="21"/>
      <c r="V768" s="21"/>
    </row>
    <row r="769" spans="1:22" s="2" customFormat="1" ht="40.15" customHeight="1" x14ac:dyDescent="0.25">
      <c r="A769" s="657"/>
      <c r="B769" s="284" t="s">
        <v>251</v>
      </c>
      <c r="C769" s="381" t="s">
        <v>2457</v>
      </c>
      <c r="D769" s="100">
        <f t="shared" si="55"/>
        <v>1177</v>
      </c>
      <c r="E769" s="427" t="s">
        <v>171</v>
      </c>
      <c r="F769" s="699" t="s">
        <v>263</v>
      </c>
      <c r="G769" s="924"/>
      <c r="H769" s="922"/>
      <c r="I769" s="923"/>
      <c r="J769" s="198" t="str">
        <f>IF(F769="","Belum Terisi",IF(AND($F$767="Tidak Ada",F769="Ada"),"CEK",""))</f>
        <v/>
      </c>
      <c r="K769" s="31" t="str">
        <f>IF(J769="CEK",$F$767&amp;" Aturan/ Kegiatan Layanan Khusus Penyandang Difabel","")</f>
        <v/>
      </c>
      <c r="L769" s="43"/>
      <c r="M769" s="21"/>
      <c r="N769" s="847" t="s">
        <v>668</v>
      </c>
      <c r="O769" s="21"/>
      <c r="P769" s="21"/>
      <c r="Q769" s="21"/>
      <c r="R769" s="21"/>
      <c r="S769" s="21"/>
      <c r="T769" s="21"/>
      <c r="U769" s="21"/>
      <c r="V769" s="21"/>
    </row>
    <row r="770" spans="1:22" s="2" customFormat="1" ht="30" customHeight="1" x14ac:dyDescent="0.25">
      <c r="A770" s="656">
        <f>A767+1</f>
        <v>195</v>
      </c>
      <c r="B770" s="284" t="s">
        <v>41</v>
      </c>
      <c r="C770" s="379" t="s">
        <v>1931</v>
      </c>
      <c r="D770" s="100">
        <f t="shared" si="55"/>
        <v>1178</v>
      </c>
      <c r="E770" s="427" t="s">
        <v>171</v>
      </c>
      <c r="F770" s="699" t="s">
        <v>263</v>
      </c>
      <c r="G770" s="924"/>
      <c r="H770" s="922"/>
      <c r="I770" s="923"/>
      <c r="J770" s="198" t="str">
        <f t="shared" ref="J770:J778" si="56">IF(LEN(F770)&gt;0,"","Belum Terisi")</f>
        <v/>
      </c>
      <c r="K770" s="31"/>
      <c r="L770" s="31"/>
      <c r="M770" s="21"/>
      <c r="N770" s="21"/>
      <c r="O770" s="21"/>
      <c r="P770" s="21"/>
      <c r="Q770" s="21"/>
      <c r="R770" s="21"/>
      <c r="S770" s="21"/>
      <c r="T770" s="21"/>
      <c r="U770" s="21"/>
      <c r="V770" s="21"/>
    </row>
    <row r="771" spans="1:22" s="2" customFormat="1" ht="30" customHeight="1" x14ac:dyDescent="0.25">
      <c r="A771" s="658"/>
      <c r="B771" s="284" t="s">
        <v>139</v>
      </c>
      <c r="C771" s="379" t="s">
        <v>1970</v>
      </c>
      <c r="D771" s="100">
        <f t="shared" si="55"/>
        <v>1179</v>
      </c>
      <c r="E771" s="427" t="s">
        <v>171</v>
      </c>
      <c r="F771" s="699" t="s">
        <v>263</v>
      </c>
      <c r="G771" s="924"/>
      <c r="H771" s="922"/>
      <c r="I771" s="923"/>
      <c r="J771" s="198" t="str">
        <f t="shared" si="56"/>
        <v/>
      </c>
      <c r="K771" s="31"/>
      <c r="L771" s="43"/>
      <c r="M771" s="21"/>
      <c r="N771" s="21"/>
      <c r="O771" s="21"/>
      <c r="P771" s="21"/>
      <c r="Q771" s="21"/>
      <c r="R771" s="21"/>
      <c r="S771" s="21"/>
      <c r="T771" s="21"/>
      <c r="U771" s="21"/>
      <c r="V771" s="21"/>
    </row>
    <row r="772" spans="1:22" s="2" customFormat="1" ht="30" customHeight="1" x14ac:dyDescent="0.25">
      <c r="A772" s="658"/>
      <c r="B772" s="284" t="s">
        <v>251</v>
      </c>
      <c r="C772" s="379" t="s">
        <v>1999</v>
      </c>
      <c r="D772" s="100">
        <f t="shared" si="55"/>
        <v>1180</v>
      </c>
      <c r="E772" s="427" t="s">
        <v>171</v>
      </c>
      <c r="F772" s="699" t="s">
        <v>263</v>
      </c>
      <c r="G772" s="924"/>
      <c r="H772" s="922"/>
      <c r="I772" s="923"/>
      <c r="J772" s="198" t="str">
        <f t="shared" si="56"/>
        <v/>
      </c>
      <c r="K772" s="31"/>
      <c r="L772" s="43"/>
      <c r="M772" s="21"/>
      <c r="N772" s="21"/>
      <c r="O772" s="21"/>
      <c r="P772" s="21"/>
      <c r="Q772" s="21"/>
      <c r="R772" s="21"/>
      <c r="S772" s="21"/>
      <c r="T772" s="21"/>
      <c r="U772" s="21"/>
      <c r="V772" s="21"/>
    </row>
    <row r="773" spans="1:22" s="2" customFormat="1" ht="30" customHeight="1" x14ac:dyDescent="0.25">
      <c r="A773" s="658"/>
      <c r="B773" s="284" t="s">
        <v>255</v>
      </c>
      <c r="C773" s="379" t="s">
        <v>2009</v>
      </c>
      <c r="D773" s="100">
        <f t="shared" si="55"/>
        <v>1181</v>
      </c>
      <c r="E773" s="427" t="s">
        <v>171</v>
      </c>
      <c r="F773" s="699" t="s">
        <v>263</v>
      </c>
      <c r="G773" s="924"/>
      <c r="H773" s="922"/>
      <c r="I773" s="923"/>
      <c r="J773" s="198" t="str">
        <f t="shared" si="56"/>
        <v/>
      </c>
      <c r="K773" s="31"/>
      <c r="L773" s="43"/>
      <c r="M773" s="21"/>
      <c r="N773" s="21"/>
      <c r="O773" s="21"/>
      <c r="P773" s="21"/>
      <c r="Q773" s="21"/>
      <c r="R773" s="21"/>
      <c r="S773" s="21"/>
      <c r="T773" s="21"/>
      <c r="U773" s="21"/>
      <c r="V773" s="21"/>
    </row>
    <row r="774" spans="1:22" s="2" customFormat="1" ht="30" customHeight="1" x14ac:dyDescent="0.25">
      <c r="A774" s="658"/>
      <c r="B774" s="284" t="s">
        <v>252</v>
      </c>
      <c r="C774" s="379" t="s">
        <v>2019</v>
      </c>
      <c r="D774" s="100">
        <f t="shared" si="55"/>
        <v>1182</v>
      </c>
      <c r="E774" s="427" t="s">
        <v>171</v>
      </c>
      <c r="F774" s="699" t="s">
        <v>263</v>
      </c>
      <c r="G774" s="924"/>
      <c r="H774" s="922"/>
      <c r="I774" s="923"/>
      <c r="J774" s="198" t="str">
        <f t="shared" si="56"/>
        <v/>
      </c>
      <c r="K774" s="31"/>
      <c r="L774" s="31"/>
      <c r="M774" s="21"/>
      <c r="N774" s="21"/>
      <c r="O774" s="21"/>
      <c r="P774" s="21"/>
      <c r="Q774" s="21"/>
      <c r="R774" s="21"/>
      <c r="S774" s="21"/>
      <c r="T774" s="21"/>
      <c r="U774" s="21"/>
      <c r="V774" s="21"/>
    </row>
    <row r="775" spans="1:22" s="2" customFormat="1" ht="30" customHeight="1" x14ac:dyDescent="0.25">
      <c r="A775" s="658"/>
      <c r="B775" s="284" t="s">
        <v>253</v>
      </c>
      <c r="C775" s="379" t="s">
        <v>2025</v>
      </c>
      <c r="D775" s="100">
        <f t="shared" si="55"/>
        <v>1183</v>
      </c>
      <c r="E775" s="427" t="s">
        <v>171</v>
      </c>
      <c r="F775" s="699" t="s">
        <v>263</v>
      </c>
      <c r="G775" s="924"/>
      <c r="H775" s="922"/>
      <c r="I775" s="923"/>
      <c r="J775" s="198" t="str">
        <f t="shared" si="56"/>
        <v/>
      </c>
      <c r="K775" s="31"/>
      <c r="L775" s="43"/>
      <c r="M775" s="21"/>
      <c r="N775" s="21"/>
      <c r="O775" s="21"/>
      <c r="P775" s="21"/>
      <c r="Q775" s="21"/>
      <c r="R775" s="21"/>
      <c r="S775" s="21"/>
      <c r="T775" s="21"/>
      <c r="U775" s="21"/>
      <c r="V775" s="21"/>
    </row>
    <row r="776" spans="1:22" s="2" customFormat="1" ht="30" customHeight="1" x14ac:dyDescent="0.25">
      <c r="A776" s="658"/>
      <c r="B776" s="284" t="s">
        <v>254</v>
      </c>
      <c r="C776" s="379" t="s">
        <v>2034</v>
      </c>
      <c r="D776" s="100">
        <f t="shared" si="55"/>
        <v>1184</v>
      </c>
      <c r="E776" s="427" t="s">
        <v>171</v>
      </c>
      <c r="F776" s="699" t="s">
        <v>263</v>
      </c>
      <c r="G776" s="924"/>
      <c r="H776" s="922"/>
      <c r="I776" s="923"/>
      <c r="J776" s="198" t="str">
        <f t="shared" si="56"/>
        <v/>
      </c>
      <c r="K776" s="31"/>
      <c r="L776" s="43"/>
      <c r="M776" s="21"/>
      <c r="N776" s="21"/>
      <c r="O776" s="21"/>
      <c r="P776" s="21"/>
      <c r="Q776" s="21"/>
      <c r="R776" s="21"/>
      <c r="S776" s="21"/>
      <c r="T776" s="21"/>
      <c r="U776" s="21"/>
      <c r="V776" s="21"/>
    </row>
    <row r="777" spans="1:22" s="2" customFormat="1" ht="30" customHeight="1" x14ac:dyDescent="0.25">
      <c r="A777" s="657"/>
      <c r="B777" s="284" t="s">
        <v>256</v>
      </c>
      <c r="C777" s="379" t="s">
        <v>2039</v>
      </c>
      <c r="D777" s="100">
        <f t="shared" si="55"/>
        <v>1185</v>
      </c>
      <c r="E777" s="427" t="s">
        <v>171</v>
      </c>
      <c r="F777" s="699" t="s">
        <v>263</v>
      </c>
      <c r="G777" s="924"/>
      <c r="H777" s="922"/>
      <c r="I777" s="923"/>
      <c r="J777" s="198" t="str">
        <f t="shared" si="56"/>
        <v/>
      </c>
      <c r="K777" s="31"/>
      <c r="L777" s="43"/>
      <c r="M777" s="21"/>
      <c r="N777" s="21"/>
      <c r="O777" s="21"/>
      <c r="P777" s="21"/>
      <c r="Q777" s="21"/>
      <c r="R777" s="21"/>
      <c r="S777" s="21"/>
      <c r="T777" s="21"/>
      <c r="U777" s="21"/>
      <c r="V777" s="21"/>
    </row>
    <row r="778" spans="1:22" s="2" customFormat="1" ht="30" customHeight="1" x14ac:dyDescent="0.25">
      <c r="A778" s="660">
        <f>A770+1</f>
        <v>196</v>
      </c>
      <c r="B778" s="380"/>
      <c r="C778" s="379" t="s">
        <v>80</v>
      </c>
      <c r="D778" s="100">
        <f t="shared" si="55"/>
        <v>1186</v>
      </c>
      <c r="E778" s="427" t="s">
        <v>63</v>
      </c>
      <c r="F778" s="730">
        <v>0</v>
      </c>
      <c r="G778" s="924"/>
      <c r="H778" s="922" t="s">
        <v>147</v>
      </c>
      <c r="I778" s="923"/>
      <c r="J778" s="198" t="str">
        <f t="shared" si="56"/>
        <v/>
      </c>
      <c r="K778" s="31"/>
      <c r="L778" s="31"/>
      <c r="M778" s="21"/>
      <c r="N778" s="21"/>
      <c r="O778" s="21"/>
      <c r="P778" s="21"/>
      <c r="Q778" s="21"/>
      <c r="R778" s="21"/>
      <c r="S778" s="21"/>
      <c r="T778" s="21"/>
      <c r="U778" s="21"/>
      <c r="V778" s="21"/>
    </row>
    <row r="779" spans="1:22" s="2" customFormat="1" ht="30" customHeight="1" x14ac:dyDescent="0.25">
      <c r="A779" s="613" t="s">
        <v>2113</v>
      </c>
      <c r="B779" s="298"/>
      <c r="C779" s="298"/>
      <c r="D779" s="516"/>
      <c r="E779" s="440"/>
      <c r="F779" s="732"/>
      <c r="G779" s="924"/>
      <c r="H779" s="922"/>
      <c r="I779" s="923"/>
      <c r="J779" s="98"/>
      <c r="K779" s="31"/>
      <c r="L779" s="43"/>
      <c r="M779" s="21"/>
      <c r="N779" s="21"/>
      <c r="O779" s="21"/>
      <c r="P779" s="21"/>
      <c r="Q779" s="21"/>
      <c r="R779" s="21"/>
      <c r="S779" s="21"/>
      <c r="T779" s="21"/>
      <c r="U779" s="21"/>
      <c r="V779" s="21"/>
    </row>
    <row r="780" spans="1:22" s="2" customFormat="1" ht="30" customHeight="1" x14ac:dyDescent="0.25">
      <c r="A780" s="860">
        <f>A778+1</f>
        <v>197</v>
      </c>
      <c r="B780" s="384"/>
      <c r="C780" s="383" t="s">
        <v>88</v>
      </c>
      <c r="D780" s="100">
        <f>D778+1</f>
        <v>1187</v>
      </c>
      <c r="E780" s="427" t="s">
        <v>171</v>
      </c>
      <c r="F780" s="699">
        <v>1</v>
      </c>
      <c r="G780" s="924"/>
      <c r="H780" s="922"/>
      <c r="I780" s="923"/>
      <c r="J780" s="198" t="str">
        <f>IF(LEN(F780)&gt;0,"","Belum Terisi")</f>
        <v/>
      </c>
      <c r="K780" s="31"/>
      <c r="L780" s="31"/>
      <c r="M780" s="21"/>
      <c r="N780" s="21"/>
      <c r="O780" s="21"/>
      <c r="P780" s="21"/>
      <c r="Q780" s="21"/>
      <c r="R780" s="21"/>
      <c r="S780" s="21"/>
      <c r="T780" s="21"/>
      <c r="U780" s="21"/>
      <c r="V780" s="21"/>
    </row>
    <row r="781" spans="1:22" s="2" customFormat="1" ht="30" customHeight="1" x14ac:dyDescent="0.25">
      <c r="A781" s="613" t="s">
        <v>201</v>
      </c>
      <c r="B781" s="298"/>
      <c r="C781" s="298"/>
      <c r="D781" s="428"/>
      <c r="E781" s="429"/>
      <c r="F781" s="714"/>
      <c r="G781" s="924"/>
      <c r="H781" s="922"/>
      <c r="I781" s="923" t="s">
        <v>263</v>
      </c>
      <c r="J781" s="98"/>
      <c r="K781" s="31"/>
      <c r="L781" s="43"/>
      <c r="M781" s="21"/>
      <c r="N781" s="21"/>
      <c r="O781" s="21"/>
      <c r="P781" s="21"/>
      <c r="Q781" s="21"/>
      <c r="R781" s="21"/>
      <c r="S781" s="21"/>
      <c r="T781" s="21"/>
      <c r="U781" s="21"/>
      <c r="V781" s="21"/>
    </row>
    <row r="782" spans="1:22" s="2" customFormat="1" ht="30" customHeight="1" x14ac:dyDescent="0.25">
      <c r="A782" s="661">
        <f>A780+1</f>
        <v>198</v>
      </c>
      <c r="B782" s="382" t="s">
        <v>41</v>
      </c>
      <c r="C782" s="383" t="s">
        <v>2114</v>
      </c>
      <c r="D782" s="100">
        <f>D780+1</f>
        <v>1188</v>
      </c>
      <c r="E782" s="427" t="s">
        <v>171</v>
      </c>
      <c r="F782" s="693" t="s">
        <v>285</v>
      </c>
      <c r="G782" s="924"/>
      <c r="H782" s="922"/>
      <c r="I782" s="923" t="str">
        <f>IF(F782="ada","PADI","")</f>
        <v>PADI</v>
      </c>
      <c r="J782" s="198" t="str">
        <f>IF(F782="","Belum Terisi",IF(OR(F782="ada",F782="Tidak Ada"),"","CEK"))</f>
        <v/>
      </c>
      <c r="K782" s="31" t="str">
        <f>IF(J782="CEK","Inputan Tidak Sesuai","")</f>
        <v/>
      </c>
      <c r="L782" s="43"/>
      <c r="M782" s="21"/>
      <c r="N782" s="21"/>
      <c r="O782" s="21"/>
      <c r="P782" s="21"/>
      <c r="Q782" s="21"/>
      <c r="R782" s="21"/>
      <c r="S782" s="21"/>
      <c r="T782" s="21"/>
      <c r="U782" s="21"/>
      <c r="V782" s="21"/>
    </row>
    <row r="783" spans="1:22" s="2" customFormat="1" ht="30" customHeight="1" x14ac:dyDescent="0.25">
      <c r="A783" s="662"/>
      <c r="B783" s="382" t="s">
        <v>139</v>
      </c>
      <c r="C783" s="383" t="s">
        <v>2222</v>
      </c>
      <c r="D783" s="100">
        <f t="shared" ref="D783:D820" si="57">D782+1</f>
        <v>1189</v>
      </c>
      <c r="E783" s="427" t="s">
        <v>188</v>
      </c>
      <c r="F783" s="829">
        <v>1</v>
      </c>
      <c r="G783" s="924"/>
      <c r="H783" s="960" t="s">
        <v>557</v>
      </c>
      <c r="I783" s="923" t="str">
        <f>IF(F784="ada","JAGUNG","")</f>
        <v>JAGUNG</v>
      </c>
      <c r="J783" s="198" t="str">
        <f>IF(F783="","Belum Terisi",IF(AND(F782="ada",F783=0),"CEK",IF(AND(F782="Tidak Ada",F783&lt;&gt;0),"CEK","")))</f>
        <v/>
      </c>
      <c r="K783" s="31" t="str">
        <f>IF(J783="CEK",F782&amp;" Produk Unggulan Padi","")</f>
        <v/>
      </c>
      <c r="L783" s="43"/>
      <c r="M783" s="21"/>
      <c r="N783" s="21"/>
      <c r="O783" s="21"/>
      <c r="P783" s="21"/>
      <c r="Q783" s="21"/>
      <c r="R783" s="21"/>
      <c r="S783" s="21"/>
      <c r="T783" s="21"/>
      <c r="U783" s="21"/>
      <c r="V783" s="21"/>
    </row>
    <row r="784" spans="1:22" s="2" customFormat="1" ht="30" customHeight="1" x14ac:dyDescent="0.25">
      <c r="A784" s="661">
        <f>A782+1</f>
        <v>199</v>
      </c>
      <c r="B784" s="382" t="s">
        <v>41</v>
      </c>
      <c r="C784" s="383" t="s">
        <v>2115</v>
      </c>
      <c r="D784" s="100">
        <f t="shared" si="57"/>
        <v>1190</v>
      </c>
      <c r="E784" s="427" t="s">
        <v>171</v>
      </c>
      <c r="F784" s="693" t="s">
        <v>285</v>
      </c>
      <c r="G784" s="924"/>
      <c r="H784" s="922"/>
      <c r="I784" s="923" t="str">
        <f>IF(F786="ada","KEDELAI","")</f>
        <v/>
      </c>
      <c r="J784" s="198" t="str">
        <f>IF(F784="","Belum Terisi",IF(OR(F784="ada",F784="Tidak Ada"),"","CEK"))</f>
        <v/>
      </c>
      <c r="K784" s="31" t="str">
        <f>IF(J784="CEK","Inputan Tidak Sesuai","")</f>
        <v/>
      </c>
      <c r="L784" s="43"/>
      <c r="M784" s="21"/>
      <c r="N784" s="21" t="s">
        <v>668</v>
      </c>
      <c r="O784" s="21"/>
      <c r="P784" s="21"/>
      <c r="Q784" s="21"/>
      <c r="R784" s="21"/>
      <c r="S784" s="21"/>
      <c r="T784" s="21"/>
      <c r="U784" s="21"/>
      <c r="V784" s="21"/>
    </row>
    <row r="785" spans="1:22" s="2" customFormat="1" ht="30" customHeight="1" x14ac:dyDescent="0.25">
      <c r="A785" s="662"/>
      <c r="B785" s="382" t="s">
        <v>139</v>
      </c>
      <c r="C785" s="383" t="s">
        <v>2222</v>
      </c>
      <c r="D785" s="100">
        <f t="shared" si="57"/>
        <v>1191</v>
      </c>
      <c r="E785" s="427" t="s">
        <v>188</v>
      </c>
      <c r="F785" s="829">
        <v>0.5</v>
      </c>
      <c r="G785" s="924"/>
      <c r="H785" s="960" t="s">
        <v>557</v>
      </c>
      <c r="I785" s="923" t="str">
        <f>IF(F788="ada","KACANG TANAH","")</f>
        <v/>
      </c>
      <c r="J785" s="198" t="str">
        <f>IF(F785="","Belum Terisi",IF(AND(F784="ada",F785=0),"CEK",IF(AND(F784="Tidak Ada",F785&lt;&gt;0),"CEK","")))</f>
        <v/>
      </c>
      <c r="K785" s="31" t="str">
        <f>IF(J785="CEK",F784&amp;" Produk Unggulan Jagungi","")</f>
        <v/>
      </c>
      <c r="L785" s="43"/>
      <c r="M785" s="21"/>
      <c r="N785" s="21" t="s">
        <v>668</v>
      </c>
      <c r="O785" s="21"/>
      <c r="P785" s="21"/>
      <c r="Q785" s="21"/>
      <c r="R785" s="21"/>
      <c r="S785" s="21"/>
      <c r="T785" s="21"/>
      <c r="U785" s="21"/>
      <c r="V785" s="21"/>
    </row>
    <row r="786" spans="1:22" s="2" customFormat="1" ht="30" customHeight="1" x14ac:dyDescent="0.25">
      <c r="A786" s="661">
        <f>A784+1</f>
        <v>200</v>
      </c>
      <c r="B786" s="382" t="s">
        <v>41</v>
      </c>
      <c r="C786" s="383" t="s">
        <v>2116</v>
      </c>
      <c r="D786" s="100">
        <f t="shared" si="57"/>
        <v>1192</v>
      </c>
      <c r="E786" s="427" t="s">
        <v>171</v>
      </c>
      <c r="F786" s="693" t="s">
        <v>263</v>
      </c>
      <c r="G786" s="924"/>
      <c r="H786" s="922"/>
      <c r="I786" s="923" t="str">
        <f>IF(F790="ada","KACANG HIJAU","")</f>
        <v/>
      </c>
      <c r="J786" s="198" t="str">
        <f>IF(F786="","Belum Terisi",IF(OR(F786="ada",F786="Tidak Ada"),"","CEK"))</f>
        <v/>
      </c>
      <c r="K786" s="31" t="str">
        <f>IF(J786="CEK","Inputan Tidak Sesuai","")</f>
        <v/>
      </c>
      <c r="L786" s="43"/>
      <c r="M786" s="21"/>
      <c r="N786" s="21"/>
      <c r="O786" s="21"/>
      <c r="P786" s="21"/>
      <c r="Q786" s="21"/>
      <c r="R786" s="21"/>
      <c r="S786" s="21"/>
      <c r="T786" s="21"/>
      <c r="U786" s="21"/>
      <c r="V786" s="21"/>
    </row>
    <row r="787" spans="1:22" s="2" customFormat="1" ht="30" customHeight="1" x14ac:dyDescent="0.25">
      <c r="A787" s="662"/>
      <c r="B787" s="382" t="s">
        <v>139</v>
      </c>
      <c r="C787" s="383" t="s">
        <v>2222</v>
      </c>
      <c r="D787" s="100">
        <f t="shared" si="57"/>
        <v>1193</v>
      </c>
      <c r="E787" s="427" t="s">
        <v>188</v>
      </c>
      <c r="F787" s="829">
        <v>0</v>
      </c>
      <c r="G787" s="924"/>
      <c r="H787" s="960" t="s">
        <v>557</v>
      </c>
      <c r="I787" s="923" t="str">
        <f>IF(F792="ada","UBI JALAR","")</f>
        <v/>
      </c>
      <c r="J787" s="198" t="str">
        <f>IF(F787="","Belum Terisi",IF(AND(F786="ada",F787=0),"CEK",IF(AND(F786="Tidak Ada",F787&lt;&gt;0),"CEK","")))</f>
        <v/>
      </c>
      <c r="K787" s="31" t="str">
        <f>IF(J787="CEK",F786&amp;" Produk Unggulan Kedelai","")</f>
        <v/>
      </c>
      <c r="L787" s="43"/>
      <c r="M787" s="21"/>
      <c r="N787" s="21"/>
      <c r="O787" s="21"/>
      <c r="P787" s="21"/>
      <c r="Q787" s="21"/>
      <c r="R787" s="21"/>
      <c r="S787" s="21"/>
      <c r="T787" s="21"/>
      <c r="U787" s="21"/>
      <c r="V787" s="21"/>
    </row>
    <row r="788" spans="1:22" s="2" customFormat="1" ht="30" customHeight="1" x14ac:dyDescent="0.25">
      <c r="A788" s="661">
        <f>A786+1</f>
        <v>201</v>
      </c>
      <c r="B788" s="382" t="s">
        <v>41</v>
      </c>
      <c r="C788" s="383" t="s">
        <v>2117</v>
      </c>
      <c r="D788" s="100">
        <f t="shared" si="57"/>
        <v>1194</v>
      </c>
      <c r="E788" s="427" t="s">
        <v>171</v>
      </c>
      <c r="F788" s="693" t="s">
        <v>263</v>
      </c>
      <c r="G788" s="924"/>
      <c r="H788" s="922"/>
      <c r="I788" s="923" t="str">
        <f>IF(F794="ada","UBI KAYU","")</f>
        <v/>
      </c>
      <c r="J788" s="198" t="str">
        <f>IF(F788="","Belum Terisi",IF(OR(F788="ada",F788="Tidak Ada"),"","CEK"))</f>
        <v/>
      </c>
      <c r="K788" s="31" t="str">
        <f>IF(J788="CEK","Inputan Tidak Sesuai","")</f>
        <v/>
      </c>
      <c r="L788" s="43"/>
      <c r="M788" s="21"/>
      <c r="N788" s="21"/>
      <c r="O788" s="21"/>
      <c r="P788" s="21"/>
      <c r="Q788" s="21"/>
      <c r="R788" s="21"/>
      <c r="S788" s="21"/>
      <c r="T788" s="21"/>
      <c r="U788" s="21"/>
      <c r="V788" s="21"/>
    </row>
    <row r="789" spans="1:22" s="2" customFormat="1" ht="30" customHeight="1" x14ac:dyDescent="0.25">
      <c r="A789" s="662"/>
      <c r="B789" s="382" t="s">
        <v>139</v>
      </c>
      <c r="C789" s="383" t="s">
        <v>2222</v>
      </c>
      <c r="D789" s="100">
        <f t="shared" si="57"/>
        <v>1195</v>
      </c>
      <c r="E789" s="427" t="s">
        <v>188</v>
      </c>
      <c r="F789" s="829">
        <v>0</v>
      </c>
      <c r="G789" s="924"/>
      <c r="H789" s="960" t="s">
        <v>557</v>
      </c>
      <c r="I789" s="923" t="str">
        <f>IF(F796="ada","MELINJO","")</f>
        <v/>
      </c>
      <c r="J789" s="198" t="str">
        <f>IF(F789="","Belum Terisi",IF(AND(F788="ada",F789=0),"CEK",IF(AND(F788="Tidak Ada",F789&lt;&gt;0),"CEK","")))</f>
        <v/>
      </c>
      <c r="K789" s="31" t="str">
        <f>IF(J789="CEK",F788&amp;" Produk Unggulan Kacang Tanah","")</f>
        <v/>
      </c>
      <c r="L789" s="43"/>
      <c r="M789" s="21"/>
      <c r="N789" s="21"/>
      <c r="O789" s="21"/>
      <c r="P789" s="21"/>
      <c r="Q789" s="21"/>
      <c r="R789" s="21"/>
      <c r="S789" s="21"/>
      <c r="T789" s="21"/>
      <c r="U789" s="21"/>
      <c r="V789" s="21"/>
    </row>
    <row r="790" spans="1:22" s="2" customFormat="1" ht="30" customHeight="1" x14ac:dyDescent="0.25">
      <c r="A790" s="661">
        <f>A788+1</f>
        <v>202</v>
      </c>
      <c r="B790" s="382" t="s">
        <v>41</v>
      </c>
      <c r="C790" s="383" t="s">
        <v>2118</v>
      </c>
      <c r="D790" s="100">
        <f t="shared" si="57"/>
        <v>1196</v>
      </c>
      <c r="E790" s="427" t="s">
        <v>171</v>
      </c>
      <c r="F790" s="693" t="s">
        <v>263</v>
      </c>
      <c r="G790" s="924"/>
      <c r="H790" s="922"/>
      <c r="I790" s="923" t="str">
        <f>IF(F798="ada","PETE","")</f>
        <v/>
      </c>
      <c r="J790" s="198" t="str">
        <f>IF(F790="","Belum Terisi",IF(OR(F790="ada",F790="Tidak Ada"),"","CEK"))</f>
        <v/>
      </c>
      <c r="K790" s="31" t="str">
        <f>IF(J790="CEK","Inputan Tidak Sesuai","")</f>
        <v/>
      </c>
      <c r="L790" s="43"/>
      <c r="M790" s="21"/>
      <c r="N790" s="21"/>
      <c r="O790" s="21"/>
      <c r="P790" s="21"/>
      <c r="Q790" s="21"/>
      <c r="R790" s="21"/>
      <c r="S790" s="21"/>
      <c r="T790" s="21"/>
      <c r="U790" s="21"/>
      <c r="V790" s="21"/>
    </row>
    <row r="791" spans="1:22" s="2" customFormat="1" ht="30" customHeight="1" x14ac:dyDescent="0.25">
      <c r="A791" s="662"/>
      <c r="B791" s="382" t="s">
        <v>139</v>
      </c>
      <c r="C791" s="383" t="s">
        <v>2222</v>
      </c>
      <c r="D791" s="100">
        <f t="shared" si="57"/>
        <v>1197</v>
      </c>
      <c r="E791" s="427" t="s">
        <v>188</v>
      </c>
      <c r="F791" s="829">
        <v>0</v>
      </c>
      <c r="G791" s="924"/>
      <c r="H791" s="960" t="s">
        <v>557</v>
      </c>
      <c r="I791" s="923" t="str">
        <f>IF(F800="ada","JENGKOL","")</f>
        <v/>
      </c>
      <c r="J791" s="198" t="str">
        <f>IF(F791="","Belum Terisi",IF(AND(F790="ada",F791=0),"CEK",IF(AND(F790="Tidak Ada",F791&lt;&gt;0),"CEK","")))</f>
        <v/>
      </c>
      <c r="K791" s="31" t="str">
        <f>IF(J791="CEK",F790&amp;" Produk Unggulan Kacang Hijau","")</f>
        <v/>
      </c>
      <c r="L791" s="43"/>
      <c r="M791" s="21"/>
      <c r="N791" s="21"/>
      <c r="O791" s="21"/>
      <c r="P791" s="21"/>
      <c r="Q791" s="21"/>
      <c r="R791" s="21"/>
      <c r="S791" s="21"/>
      <c r="T791" s="21"/>
      <c r="U791" s="21"/>
      <c r="V791" s="21"/>
    </row>
    <row r="792" spans="1:22" s="2" customFormat="1" ht="30" customHeight="1" x14ac:dyDescent="0.25">
      <c r="A792" s="661">
        <f>A790+1</f>
        <v>203</v>
      </c>
      <c r="B792" s="382" t="s">
        <v>41</v>
      </c>
      <c r="C792" s="383" t="s">
        <v>2119</v>
      </c>
      <c r="D792" s="100">
        <f t="shared" si="57"/>
        <v>1198</v>
      </c>
      <c r="E792" s="427" t="s">
        <v>171</v>
      </c>
      <c r="F792" s="693" t="s">
        <v>263</v>
      </c>
      <c r="G792" s="924"/>
      <c r="H792" s="922"/>
      <c r="I792" s="923" t="str">
        <f>IF(F802="ada","TALAS","")</f>
        <v>TALAS</v>
      </c>
      <c r="J792" s="198" t="str">
        <f>IF(F792="","Belum Terisi",IF(OR(F792="ada",F792="Tidak Ada"),"","CEK"))</f>
        <v/>
      </c>
      <c r="K792" s="31" t="str">
        <f>IF(J792="CEK","Inputan Tidak Sesuai","")</f>
        <v/>
      </c>
      <c r="L792" s="43"/>
      <c r="M792" s="21"/>
      <c r="N792" s="21"/>
      <c r="O792" s="21"/>
      <c r="P792" s="21"/>
      <c r="Q792" s="21"/>
      <c r="R792" s="21"/>
      <c r="S792" s="21"/>
      <c r="T792" s="21"/>
      <c r="U792" s="21"/>
      <c r="V792" s="21"/>
    </row>
    <row r="793" spans="1:22" s="2" customFormat="1" ht="30" customHeight="1" x14ac:dyDescent="0.25">
      <c r="A793" s="662"/>
      <c r="B793" s="382" t="s">
        <v>139</v>
      </c>
      <c r="C793" s="383" t="s">
        <v>2222</v>
      </c>
      <c r="D793" s="100">
        <f t="shared" si="57"/>
        <v>1199</v>
      </c>
      <c r="E793" s="427" t="s">
        <v>188</v>
      </c>
      <c r="F793" s="829">
        <v>0</v>
      </c>
      <c r="G793" s="924"/>
      <c r="H793" s="960" t="s">
        <v>557</v>
      </c>
      <c r="I793" s="923" t="str">
        <f>IF(F804="ada","MERICA","")</f>
        <v/>
      </c>
      <c r="J793" s="198" t="str">
        <f>IF(F793="","Belum Terisi",IF(AND(F792="ada",F793=0),"CEK",IF(AND(F792="Tidak Ada",F793&lt;&gt;0),"CEK","")))</f>
        <v/>
      </c>
      <c r="K793" s="31" t="str">
        <f>IF(J793="CEK",F792&amp;" Produk Unggulan Ubi Jalar","")</f>
        <v/>
      </c>
      <c r="L793" s="43"/>
      <c r="M793" s="21"/>
      <c r="N793" s="21"/>
      <c r="O793" s="21"/>
      <c r="P793" s="21"/>
      <c r="Q793" s="21"/>
      <c r="R793" s="21"/>
      <c r="S793" s="21"/>
      <c r="T793" s="21"/>
      <c r="U793" s="21"/>
      <c r="V793" s="21"/>
    </row>
    <row r="794" spans="1:22" s="2" customFormat="1" ht="30" customHeight="1" x14ac:dyDescent="0.25">
      <c r="A794" s="661">
        <f>A792+1</f>
        <v>204</v>
      </c>
      <c r="B794" s="382" t="s">
        <v>41</v>
      </c>
      <c r="C794" s="383" t="s">
        <v>2120</v>
      </c>
      <c r="D794" s="100">
        <f t="shared" si="57"/>
        <v>1200</v>
      </c>
      <c r="E794" s="427" t="s">
        <v>171</v>
      </c>
      <c r="F794" s="693" t="s">
        <v>263</v>
      </c>
      <c r="G794" s="924"/>
      <c r="H794" s="922"/>
      <c r="I794" s="923" t="str">
        <f>IF(F806="ada","KENTANG","")</f>
        <v/>
      </c>
      <c r="J794" s="198" t="str">
        <f>IF(F794="","Belum Terisi",IF(OR(F794="ada",F794="Tidak Ada"),"","CEK"))</f>
        <v/>
      </c>
      <c r="K794" s="31" t="str">
        <f>IF(J794="CEK","Inputan Tidak Sesuai","")</f>
        <v/>
      </c>
      <c r="L794" s="43"/>
      <c r="M794" s="21"/>
      <c r="N794" s="21"/>
      <c r="O794" s="21"/>
      <c r="P794" s="21"/>
      <c r="Q794" s="21"/>
      <c r="R794" s="21"/>
      <c r="S794" s="21"/>
      <c r="T794" s="21"/>
      <c r="U794" s="21"/>
      <c r="V794" s="21"/>
    </row>
    <row r="795" spans="1:22" s="2" customFormat="1" ht="30" customHeight="1" x14ac:dyDescent="0.25">
      <c r="A795" s="662"/>
      <c r="B795" s="382" t="s">
        <v>139</v>
      </c>
      <c r="C795" s="383" t="s">
        <v>2222</v>
      </c>
      <c r="D795" s="100">
        <f t="shared" si="57"/>
        <v>1201</v>
      </c>
      <c r="E795" s="427" t="s">
        <v>188</v>
      </c>
      <c r="F795" s="829">
        <v>0</v>
      </c>
      <c r="G795" s="924"/>
      <c r="H795" s="960" t="s">
        <v>557</v>
      </c>
      <c r="I795" s="923" t="str">
        <f>IF(F808="ada","WORTEL","")</f>
        <v/>
      </c>
      <c r="J795" s="198" t="str">
        <f>IF(F795="","Belum Terisi",IF(AND(F794="ada",F795=0),"CEK",IF(AND(F794="Tidak Ada",F795&lt;&gt;0),"CEK","")))</f>
        <v/>
      </c>
      <c r="K795" s="31" t="str">
        <f>IF(J795="CEK",F794&amp;" Produk Unggulan Ubi Kayu","")</f>
        <v/>
      </c>
      <c r="L795" s="43"/>
      <c r="M795" s="21"/>
      <c r="N795" s="21"/>
      <c r="O795" s="21"/>
      <c r="P795" s="21"/>
      <c r="Q795" s="21"/>
      <c r="R795" s="21"/>
      <c r="S795" s="21"/>
      <c r="T795" s="21"/>
      <c r="U795" s="21"/>
      <c r="V795" s="21"/>
    </row>
    <row r="796" spans="1:22" s="2" customFormat="1" ht="30" customHeight="1" x14ac:dyDescent="0.25">
      <c r="A796" s="661">
        <f>A794+1</f>
        <v>205</v>
      </c>
      <c r="B796" s="382" t="s">
        <v>41</v>
      </c>
      <c r="C796" s="383" t="s">
        <v>2121</v>
      </c>
      <c r="D796" s="100">
        <f t="shared" si="57"/>
        <v>1202</v>
      </c>
      <c r="E796" s="427" t="s">
        <v>171</v>
      </c>
      <c r="F796" s="693" t="s">
        <v>263</v>
      </c>
      <c r="G796" s="924"/>
      <c r="H796" s="922"/>
      <c r="I796" s="923" t="str">
        <f>IF(F810="ada","SORGUM","")</f>
        <v/>
      </c>
      <c r="J796" s="198" t="str">
        <f>IF(F796="","Belum Terisi",IF(OR(F796="ada",F796="Tidak Ada"),"","CEK"))</f>
        <v/>
      </c>
      <c r="K796" s="31" t="str">
        <f>IF(J796="CEK","Inputan Tidak Sesuai","")</f>
        <v/>
      </c>
      <c r="L796" s="43"/>
      <c r="M796" s="21"/>
      <c r="N796" s="21"/>
      <c r="O796" s="21"/>
      <c r="P796" s="21"/>
      <c r="Q796" s="21"/>
      <c r="R796" s="21"/>
      <c r="S796" s="21"/>
      <c r="T796" s="21"/>
      <c r="U796" s="21"/>
      <c r="V796" s="21"/>
    </row>
    <row r="797" spans="1:22" s="2" customFormat="1" ht="30" customHeight="1" x14ac:dyDescent="0.25">
      <c r="A797" s="662"/>
      <c r="B797" s="382" t="s">
        <v>139</v>
      </c>
      <c r="C797" s="383" t="s">
        <v>2222</v>
      </c>
      <c r="D797" s="100">
        <f t="shared" si="57"/>
        <v>1203</v>
      </c>
      <c r="E797" s="427" t="s">
        <v>188</v>
      </c>
      <c r="F797" s="829">
        <v>0</v>
      </c>
      <c r="G797" s="924"/>
      <c r="H797" s="960" t="s">
        <v>557</v>
      </c>
      <c r="I797" s="923" t="str">
        <f>IF(F812="ada","SAGU","")</f>
        <v/>
      </c>
      <c r="J797" s="198" t="str">
        <f>IF(F797="","Belum Terisi",IF(AND(F796="ada",F797=0),"CEK",IF(AND(F796="Tidak Ada",F797&lt;&gt;0),"CEK","")))</f>
        <v/>
      </c>
      <c r="K797" s="31" t="str">
        <f>IF(J797="CEK",F796&amp;" Produk Unggulan Melinjo","")</f>
        <v/>
      </c>
      <c r="L797" s="43"/>
      <c r="M797" s="21"/>
      <c r="N797" s="21"/>
      <c r="O797" s="21"/>
      <c r="P797" s="21"/>
      <c r="Q797" s="21"/>
      <c r="R797" s="21"/>
      <c r="S797" s="21"/>
      <c r="T797" s="21"/>
      <c r="U797" s="21"/>
      <c r="V797" s="21"/>
    </row>
    <row r="798" spans="1:22" s="2" customFormat="1" ht="30" customHeight="1" x14ac:dyDescent="0.25">
      <c r="A798" s="661">
        <f>A796+1</f>
        <v>206</v>
      </c>
      <c r="B798" s="382" t="s">
        <v>41</v>
      </c>
      <c r="C798" s="383" t="s">
        <v>2122</v>
      </c>
      <c r="D798" s="100">
        <f t="shared" si="57"/>
        <v>1204</v>
      </c>
      <c r="E798" s="427" t="s">
        <v>171</v>
      </c>
      <c r="F798" s="693" t="s">
        <v>263</v>
      </c>
      <c r="G798" s="924"/>
      <c r="H798" s="922"/>
      <c r="I798" s="923" t="str">
        <f>IF(F814="ada","GANDUM","")</f>
        <v/>
      </c>
      <c r="J798" s="198" t="str">
        <f>IF(F798="","Belum Terisi",IF(OR(F798="ada",F798="Tidak Ada"),"","CEK"))</f>
        <v/>
      </c>
      <c r="K798" s="31" t="str">
        <f>IF(J798="CEK","Inputan Tidak Sesuai","")</f>
        <v/>
      </c>
      <c r="L798" s="43"/>
      <c r="M798" s="21"/>
      <c r="N798" s="21"/>
      <c r="O798" s="21"/>
      <c r="P798" s="21"/>
      <c r="Q798" s="21"/>
      <c r="R798" s="21"/>
      <c r="S798" s="21"/>
      <c r="T798" s="21"/>
      <c r="U798" s="21"/>
      <c r="V798" s="21"/>
    </row>
    <row r="799" spans="1:22" s="2" customFormat="1" ht="30" customHeight="1" x14ac:dyDescent="0.25">
      <c r="A799" s="662"/>
      <c r="B799" s="382" t="s">
        <v>139</v>
      </c>
      <c r="C799" s="383" t="s">
        <v>2222</v>
      </c>
      <c r="D799" s="100">
        <f t="shared" si="57"/>
        <v>1205</v>
      </c>
      <c r="E799" s="427" t="s">
        <v>188</v>
      </c>
      <c r="F799" s="829">
        <v>0</v>
      </c>
      <c r="G799" s="924"/>
      <c r="H799" s="960" t="s">
        <v>557</v>
      </c>
      <c r="I799" s="923" t="str">
        <f>IF(F816="ada","SUKUN","")</f>
        <v/>
      </c>
      <c r="J799" s="198" t="str">
        <f>IF(F799="","Belum Terisi",IF(AND(F798="ada",F799=0),"CEK",IF(AND(F798="Tidak Ada",F799&lt;&gt;0),"CEK","")))</f>
        <v/>
      </c>
      <c r="K799" s="31" t="str">
        <f>IF(J799="CEK",F798&amp;" Produk Unggulan Pete","")</f>
        <v/>
      </c>
      <c r="L799" s="43"/>
      <c r="M799" s="21"/>
      <c r="N799" s="21"/>
      <c r="O799" s="21"/>
      <c r="P799" s="21"/>
      <c r="Q799" s="21"/>
      <c r="R799" s="21"/>
      <c r="S799" s="21"/>
      <c r="T799" s="21"/>
      <c r="U799" s="21"/>
      <c r="V799" s="21"/>
    </row>
    <row r="800" spans="1:22" s="2" customFormat="1" ht="30" customHeight="1" x14ac:dyDescent="0.25">
      <c r="A800" s="661">
        <f>A798+1</f>
        <v>207</v>
      </c>
      <c r="B800" s="382" t="s">
        <v>41</v>
      </c>
      <c r="C800" s="383" t="s">
        <v>2123</v>
      </c>
      <c r="D800" s="100">
        <f t="shared" si="57"/>
        <v>1206</v>
      </c>
      <c r="E800" s="427" t="s">
        <v>171</v>
      </c>
      <c r="F800" s="693" t="s">
        <v>263</v>
      </c>
      <c r="G800" s="924"/>
      <c r="H800" s="922"/>
      <c r="I800" s="923" t="str">
        <f>IF(F818="ada",F819,"")</f>
        <v>Ketela Pohon</v>
      </c>
      <c r="J800" s="198" t="str">
        <f>IF(F800="","Belum Terisi",IF(OR(F800="ada",F800="Tidak Ada"),"","CEK"))</f>
        <v/>
      </c>
      <c r="K800" s="31" t="str">
        <f>IF(J800="CEK","Inputan Tidak Sesuai","")</f>
        <v/>
      </c>
      <c r="L800" s="43"/>
      <c r="M800" s="21"/>
      <c r="N800" s="21"/>
      <c r="O800" s="21"/>
      <c r="P800" s="21"/>
      <c r="Q800" s="21"/>
      <c r="R800" s="21"/>
      <c r="S800" s="21"/>
      <c r="T800" s="21"/>
      <c r="U800" s="21"/>
      <c r="V800" s="21"/>
    </row>
    <row r="801" spans="1:22" s="2" customFormat="1" ht="30" customHeight="1" x14ac:dyDescent="0.25">
      <c r="A801" s="662"/>
      <c r="B801" s="382" t="s">
        <v>139</v>
      </c>
      <c r="C801" s="383" t="s">
        <v>2222</v>
      </c>
      <c r="D801" s="100">
        <f t="shared" si="57"/>
        <v>1207</v>
      </c>
      <c r="E801" s="427" t="s">
        <v>188</v>
      </c>
      <c r="F801" s="829">
        <v>0</v>
      </c>
      <c r="G801" s="924"/>
      <c r="H801" s="960" t="s">
        <v>557</v>
      </c>
      <c r="I801" s="923"/>
      <c r="J801" s="198" t="str">
        <f>IF(F801="","Belum Terisi",IF(AND(F800="ada",F801=0),"CEK",IF(AND(F800="Tidak Ada",F801&lt;&gt;0),"CEK","")))</f>
        <v/>
      </c>
      <c r="K801" s="31" t="str">
        <f>IF(J801="CEK",F800&amp;" Produk Unggulan Jengkol","")</f>
        <v/>
      </c>
      <c r="L801" s="43"/>
      <c r="M801" s="21"/>
      <c r="N801" s="21"/>
      <c r="O801" s="21"/>
      <c r="P801" s="21"/>
      <c r="Q801" s="21"/>
      <c r="R801" s="21"/>
      <c r="S801" s="21"/>
      <c r="T801" s="21"/>
      <c r="U801" s="21"/>
      <c r="V801" s="21"/>
    </row>
    <row r="802" spans="1:22" s="2" customFormat="1" ht="30" customHeight="1" x14ac:dyDescent="0.25">
      <c r="A802" s="661">
        <f>A800+1</f>
        <v>208</v>
      </c>
      <c r="B802" s="382" t="s">
        <v>41</v>
      </c>
      <c r="C802" s="383" t="s">
        <v>2124</v>
      </c>
      <c r="D802" s="100">
        <f t="shared" si="57"/>
        <v>1208</v>
      </c>
      <c r="E802" s="427" t="s">
        <v>171</v>
      </c>
      <c r="F802" s="693" t="s">
        <v>285</v>
      </c>
      <c r="G802" s="924"/>
      <c r="H802" s="922"/>
      <c r="I802" s="923"/>
      <c r="J802" s="198" t="str">
        <f>IF(F802="","Belum Terisi",IF(OR(F802="ada",F802="Tidak Ada"),"","CEK"))</f>
        <v/>
      </c>
      <c r="K802" s="31" t="str">
        <f>IF(J802="CEK","Inputan Tidak Sesuai","")</f>
        <v/>
      </c>
      <c r="L802" s="43"/>
      <c r="M802" s="21"/>
      <c r="N802" s="21"/>
      <c r="O802" s="21"/>
      <c r="P802" s="21"/>
      <c r="Q802" s="21"/>
      <c r="R802" s="21"/>
      <c r="S802" s="21"/>
      <c r="T802" s="21"/>
      <c r="U802" s="21"/>
      <c r="V802" s="21"/>
    </row>
    <row r="803" spans="1:22" s="2" customFormat="1" ht="30" customHeight="1" x14ac:dyDescent="0.25">
      <c r="A803" s="662"/>
      <c r="B803" s="382" t="s">
        <v>139</v>
      </c>
      <c r="C803" s="383" t="s">
        <v>2222</v>
      </c>
      <c r="D803" s="100">
        <f t="shared" si="57"/>
        <v>1209</v>
      </c>
      <c r="E803" s="427" t="s">
        <v>188</v>
      </c>
      <c r="F803" s="829">
        <v>0.5</v>
      </c>
      <c r="G803" s="924"/>
      <c r="H803" s="960" t="s">
        <v>557</v>
      </c>
      <c r="I803" s="923"/>
      <c r="J803" s="198" t="str">
        <f>IF(F803="","Belum Terisi",IF(AND(F802="ada",F803=0),"CEK",IF(AND(F802="Tidak Ada",F803&lt;&gt;0),"CEK","")))</f>
        <v/>
      </c>
      <c r="K803" s="31" t="str">
        <f>IF(J803="CEK",F802&amp;" Produk Unggulan Talas","")</f>
        <v/>
      </c>
      <c r="L803" s="43"/>
      <c r="M803" s="21"/>
      <c r="N803" s="21"/>
      <c r="O803" s="21"/>
      <c r="P803" s="21"/>
      <c r="Q803" s="21"/>
      <c r="R803" s="21"/>
      <c r="S803" s="21"/>
      <c r="T803" s="21"/>
      <c r="U803" s="21"/>
      <c r="V803" s="21"/>
    </row>
    <row r="804" spans="1:22" s="2" customFormat="1" ht="30" customHeight="1" x14ac:dyDescent="0.25">
      <c r="A804" s="661">
        <f>A802+1</f>
        <v>209</v>
      </c>
      <c r="B804" s="382" t="s">
        <v>41</v>
      </c>
      <c r="C804" s="383" t="s">
        <v>2125</v>
      </c>
      <c r="D804" s="100">
        <f t="shared" si="57"/>
        <v>1210</v>
      </c>
      <c r="E804" s="427" t="s">
        <v>171</v>
      </c>
      <c r="F804" s="693" t="s">
        <v>263</v>
      </c>
      <c r="G804" s="924"/>
      <c r="H804" s="922"/>
      <c r="I804" s="923"/>
      <c r="J804" s="198" t="str">
        <f>IF(F804="","Belum Terisi",IF(OR(F804="ada",F804="Tidak Ada"),"","CEK"))</f>
        <v/>
      </c>
      <c r="K804" s="31" t="str">
        <f>IF(J804="CEK","Inputan Tidak Sesuai","")</f>
        <v/>
      </c>
      <c r="L804" s="43"/>
      <c r="M804" s="21"/>
      <c r="N804" s="21"/>
      <c r="O804" s="21"/>
      <c r="P804" s="21"/>
      <c r="Q804" s="21"/>
      <c r="R804" s="21"/>
      <c r="S804" s="21"/>
      <c r="T804" s="21"/>
      <c r="U804" s="21"/>
      <c r="V804" s="21"/>
    </row>
    <row r="805" spans="1:22" s="2" customFormat="1" ht="30" customHeight="1" x14ac:dyDescent="0.25">
      <c r="A805" s="662"/>
      <c r="B805" s="382" t="s">
        <v>139</v>
      </c>
      <c r="C805" s="383" t="s">
        <v>2222</v>
      </c>
      <c r="D805" s="100">
        <f t="shared" si="57"/>
        <v>1211</v>
      </c>
      <c r="E805" s="427" t="s">
        <v>188</v>
      </c>
      <c r="F805" s="829">
        <v>0</v>
      </c>
      <c r="G805" s="924"/>
      <c r="H805" s="960" t="s">
        <v>557</v>
      </c>
      <c r="I805" s="923"/>
      <c r="J805" s="198" t="str">
        <f>IF(F805="","Belum Terisi",IF(AND(F804="ada",F805=0),"CEK",IF(AND(F804="Tidak Ada",F805&lt;&gt;0),"CEK","")))</f>
        <v/>
      </c>
      <c r="K805" s="31" t="str">
        <f>IF(J805="CEK",F804&amp;" Produk Unggulan Merica","")</f>
        <v/>
      </c>
      <c r="L805" s="43"/>
      <c r="M805" s="21"/>
      <c r="N805" s="21"/>
      <c r="O805" s="21"/>
      <c r="P805" s="21"/>
      <c r="Q805" s="21"/>
      <c r="R805" s="21"/>
      <c r="S805" s="21"/>
      <c r="T805" s="21"/>
      <c r="U805" s="21"/>
      <c r="V805" s="21"/>
    </row>
    <row r="806" spans="1:22" s="2" customFormat="1" ht="30" customHeight="1" x14ac:dyDescent="0.25">
      <c r="A806" s="661">
        <f>A804+1</f>
        <v>210</v>
      </c>
      <c r="B806" s="382" t="s">
        <v>41</v>
      </c>
      <c r="C806" s="383" t="s">
        <v>2126</v>
      </c>
      <c r="D806" s="100">
        <f t="shared" si="57"/>
        <v>1212</v>
      </c>
      <c r="E806" s="427" t="s">
        <v>171</v>
      </c>
      <c r="F806" s="693" t="s">
        <v>263</v>
      </c>
      <c r="G806" s="924"/>
      <c r="H806" s="922"/>
      <c r="I806" s="923"/>
      <c r="J806" s="198" t="str">
        <f>IF(F806="","Belum Terisi",IF(OR(F806="ada",F806="Tidak Ada"),"","CEK"))</f>
        <v/>
      </c>
      <c r="K806" s="31" t="str">
        <f>IF(J806="CEK","Inputan Tidak Sesuai","")</f>
        <v/>
      </c>
      <c r="L806" s="43"/>
      <c r="M806" s="21"/>
      <c r="N806" s="21"/>
      <c r="O806" s="21"/>
      <c r="P806" s="21"/>
      <c r="Q806" s="21"/>
      <c r="R806" s="21"/>
      <c r="S806" s="21"/>
      <c r="T806" s="21"/>
      <c r="U806" s="21"/>
      <c r="V806" s="21"/>
    </row>
    <row r="807" spans="1:22" s="2" customFormat="1" ht="30" customHeight="1" x14ac:dyDescent="0.25">
      <c r="A807" s="662"/>
      <c r="B807" s="382" t="s">
        <v>139</v>
      </c>
      <c r="C807" s="383" t="s">
        <v>2222</v>
      </c>
      <c r="D807" s="100">
        <f t="shared" si="57"/>
        <v>1213</v>
      </c>
      <c r="E807" s="427" t="s">
        <v>188</v>
      </c>
      <c r="F807" s="829">
        <v>0</v>
      </c>
      <c r="G807" s="924"/>
      <c r="H807" s="960" t="s">
        <v>557</v>
      </c>
      <c r="I807" s="923"/>
      <c r="J807" s="198" t="str">
        <f>IF(F807="","Belum Terisi",IF(AND(F806="ada",F807=0),"CEK",IF(AND(F806="Tidak Ada",F807&lt;&gt;0),"CEK","")))</f>
        <v/>
      </c>
      <c r="K807" s="31" t="str">
        <f>IF(J807="CEK",F806&amp;" Produk Unggulan Kentang","")</f>
        <v/>
      </c>
      <c r="L807" s="43"/>
      <c r="M807" s="21"/>
      <c r="N807" s="21"/>
      <c r="O807" s="21"/>
      <c r="P807" s="21"/>
      <c r="Q807" s="21"/>
      <c r="R807" s="21"/>
      <c r="S807" s="21"/>
      <c r="T807" s="21"/>
      <c r="U807" s="21"/>
      <c r="V807" s="21"/>
    </row>
    <row r="808" spans="1:22" s="2" customFormat="1" ht="30" customHeight="1" x14ac:dyDescent="0.25">
      <c r="A808" s="661">
        <f>A806+1</f>
        <v>211</v>
      </c>
      <c r="B808" s="382" t="s">
        <v>41</v>
      </c>
      <c r="C808" s="383" t="s">
        <v>2127</v>
      </c>
      <c r="D808" s="100">
        <f t="shared" si="57"/>
        <v>1214</v>
      </c>
      <c r="E808" s="427" t="s">
        <v>171</v>
      </c>
      <c r="F808" s="693" t="s">
        <v>263</v>
      </c>
      <c r="G808" s="924"/>
      <c r="H808" s="922"/>
      <c r="I808" s="923"/>
      <c r="J808" s="198" t="str">
        <f>IF(F808="","Belum Terisi",IF(OR(F808="ada",F808="Tidak Ada"),"","CEK"))</f>
        <v/>
      </c>
      <c r="K808" s="31" t="str">
        <f>IF(J808="CEK","Inputan Tidak Sesuai","")</f>
        <v/>
      </c>
      <c r="L808" s="43"/>
      <c r="M808" s="21"/>
      <c r="N808" s="21"/>
      <c r="O808" s="21"/>
      <c r="P808" s="21"/>
      <c r="Q808" s="21"/>
      <c r="R808" s="21"/>
      <c r="S808" s="21"/>
      <c r="T808" s="21"/>
      <c r="U808" s="21"/>
      <c r="V808" s="21"/>
    </row>
    <row r="809" spans="1:22" s="2" customFormat="1" ht="30" customHeight="1" x14ac:dyDescent="0.25">
      <c r="A809" s="662"/>
      <c r="B809" s="382" t="s">
        <v>139</v>
      </c>
      <c r="C809" s="383" t="s">
        <v>2222</v>
      </c>
      <c r="D809" s="100">
        <f t="shared" si="57"/>
        <v>1215</v>
      </c>
      <c r="E809" s="427" t="s">
        <v>188</v>
      </c>
      <c r="F809" s="829">
        <v>0</v>
      </c>
      <c r="G809" s="924"/>
      <c r="H809" s="960" t="s">
        <v>557</v>
      </c>
      <c r="I809" s="923"/>
      <c r="J809" s="198" t="str">
        <f>IF(F809="","Belum Terisi",IF(AND(F808="ada",F809=0),"CEK",IF(AND(F808="Tidak Ada",F809&lt;&gt;0),"CEK","")))</f>
        <v/>
      </c>
      <c r="K809" s="31" t="str">
        <f>IF(J809="CEK",F808&amp;" Produk Unggulan Wortel","")</f>
        <v/>
      </c>
      <c r="L809" s="43"/>
      <c r="M809" s="21"/>
      <c r="N809" s="21"/>
      <c r="O809" s="21"/>
      <c r="P809" s="21"/>
      <c r="Q809" s="21"/>
      <c r="R809" s="21"/>
      <c r="S809" s="21"/>
      <c r="T809" s="21"/>
      <c r="U809" s="21"/>
      <c r="V809" s="21"/>
    </row>
    <row r="810" spans="1:22" s="2" customFormat="1" ht="30" customHeight="1" x14ac:dyDescent="0.25">
      <c r="A810" s="661">
        <f>A808+1</f>
        <v>212</v>
      </c>
      <c r="B810" s="382" t="s">
        <v>41</v>
      </c>
      <c r="C810" s="383" t="s">
        <v>2128</v>
      </c>
      <c r="D810" s="100">
        <f t="shared" si="57"/>
        <v>1216</v>
      </c>
      <c r="E810" s="427" t="s">
        <v>171</v>
      </c>
      <c r="F810" s="693" t="s">
        <v>263</v>
      </c>
      <c r="G810" s="924"/>
      <c r="H810" s="922"/>
      <c r="I810" s="923"/>
      <c r="J810" s="198" t="str">
        <f>IF(F810="","Belum Terisi",IF(OR(F810="ada",F810="Tidak Ada"),"","CEK"))</f>
        <v/>
      </c>
      <c r="K810" s="31" t="str">
        <f>IF(J810="CEK","Inputan Tidak Sesuai","")</f>
        <v/>
      </c>
      <c r="L810" s="43"/>
      <c r="M810" s="21"/>
      <c r="N810" s="21"/>
      <c r="O810" s="21"/>
      <c r="P810" s="21"/>
      <c r="Q810" s="21"/>
      <c r="R810" s="21"/>
      <c r="S810" s="21"/>
      <c r="T810" s="21"/>
      <c r="U810" s="21"/>
      <c r="V810" s="21"/>
    </row>
    <row r="811" spans="1:22" s="2" customFormat="1" ht="30" customHeight="1" x14ac:dyDescent="0.25">
      <c r="A811" s="662"/>
      <c r="B811" s="382" t="s">
        <v>139</v>
      </c>
      <c r="C811" s="383" t="s">
        <v>2222</v>
      </c>
      <c r="D811" s="100">
        <f t="shared" si="57"/>
        <v>1217</v>
      </c>
      <c r="E811" s="427" t="s">
        <v>188</v>
      </c>
      <c r="F811" s="829">
        <v>0</v>
      </c>
      <c r="G811" s="924"/>
      <c r="H811" s="960" t="s">
        <v>557</v>
      </c>
      <c r="I811" s="923"/>
      <c r="J811" s="198" t="str">
        <f>IF(F811="","Belum Terisi",IF(AND(F810="ada",F811=0),"CEK",IF(AND(F810="Tidak Ada",F811&lt;&gt;0),"CEK","")))</f>
        <v/>
      </c>
      <c r="K811" s="31" t="str">
        <f>IF(J811="CEK",F810&amp;" Produk Unggulan Sorgum","")</f>
        <v/>
      </c>
      <c r="L811" s="43"/>
      <c r="M811" s="21"/>
      <c r="N811" s="21"/>
      <c r="O811" s="21"/>
      <c r="P811" s="21"/>
      <c r="Q811" s="21"/>
      <c r="R811" s="21"/>
      <c r="S811" s="21"/>
      <c r="T811" s="21"/>
      <c r="U811" s="21"/>
      <c r="V811" s="21"/>
    </row>
    <row r="812" spans="1:22" s="2" customFormat="1" ht="30" customHeight="1" x14ac:dyDescent="0.25">
      <c r="A812" s="661">
        <f>A810+1</f>
        <v>213</v>
      </c>
      <c r="B812" s="382" t="s">
        <v>41</v>
      </c>
      <c r="C812" s="383" t="s">
        <v>2129</v>
      </c>
      <c r="D812" s="100">
        <f t="shared" si="57"/>
        <v>1218</v>
      </c>
      <c r="E812" s="427" t="s">
        <v>171</v>
      </c>
      <c r="F812" s="693" t="s">
        <v>263</v>
      </c>
      <c r="G812" s="924"/>
      <c r="H812" s="922"/>
      <c r="I812" s="923"/>
      <c r="J812" s="198" t="str">
        <f>IF(F812="","Belum Terisi",IF(OR(F812="ada",F812="Tidak Ada"),"","CEK"))</f>
        <v/>
      </c>
      <c r="K812" s="31" t="str">
        <f>IF(J812="CEK","Inputan Tidak Sesuai","")</f>
        <v/>
      </c>
      <c r="L812" s="43"/>
      <c r="M812" s="21"/>
      <c r="N812" s="21"/>
      <c r="O812" s="21"/>
      <c r="P812" s="21"/>
      <c r="Q812" s="21"/>
      <c r="R812" s="21"/>
      <c r="S812" s="21"/>
      <c r="T812" s="21"/>
      <c r="U812" s="21"/>
      <c r="V812" s="21"/>
    </row>
    <row r="813" spans="1:22" s="2" customFormat="1" ht="30" customHeight="1" x14ac:dyDescent="0.25">
      <c r="A813" s="662"/>
      <c r="B813" s="382" t="s">
        <v>139</v>
      </c>
      <c r="C813" s="383" t="s">
        <v>2222</v>
      </c>
      <c r="D813" s="100">
        <f t="shared" si="57"/>
        <v>1219</v>
      </c>
      <c r="E813" s="427" t="s">
        <v>188</v>
      </c>
      <c r="F813" s="829">
        <v>0</v>
      </c>
      <c r="G813" s="924"/>
      <c r="H813" s="960" t="s">
        <v>557</v>
      </c>
      <c r="I813" s="923"/>
      <c r="J813" s="198" t="str">
        <f>IF(F813="","Belum Terisi",IF(AND(F812="ada",F813=0),"CEK",IF(AND(F812="Tidak Ada",F813&lt;&gt;0),"CEK","")))</f>
        <v/>
      </c>
      <c r="K813" s="31" t="str">
        <f>IF(J813="CEK",F812&amp;" Produk Unggulan Sagu","")</f>
        <v/>
      </c>
      <c r="L813" s="43"/>
      <c r="M813" s="21"/>
      <c r="N813" s="21"/>
      <c r="O813" s="21"/>
      <c r="P813" s="21"/>
      <c r="Q813" s="21"/>
      <c r="R813" s="21"/>
      <c r="S813" s="21"/>
      <c r="T813" s="21"/>
      <c r="U813" s="21"/>
      <c r="V813" s="21"/>
    </row>
    <row r="814" spans="1:22" s="27" customFormat="1" ht="30" customHeight="1" x14ac:dyDescent="0.25">
      <c r="A814" s="661">
        <f>A812+1</f>
        <v>214</v>
      </c>
      <c r="B814" s="382" t="s">
        <v>41</v>
      </c>
      <c r="C814" s="383" t="s">
        <v>2130</v>
      </c>
      <c r="D814" s="100">
        <f t="shared" si="57"/>
        <v>1220</v>
      </c>
      <c r="E814" s="455" t="s">
        <v>171</v>
      </c>
      <c r="F814" s="705" t="s">
        <v>263</v>
      </c>
      <c r="G814" s="924"/>
      <c r="H814" s="922"/>
      <c r="I814" s="923"/>
      <c r="J814" s="198" t="str">
        <f>IF(F814="","Belum Terisi",IF(OR(F814="ada",F814="Tidak Ada"),"","CEK"))</f>
        <v/>
      </c>
      <c r="K814" s="31" t="str">
        <f>IF(J814="CEK","Inputan Tidak Sesuai","")</f>
        <v/>
      </c>
      <c r="L814" s="43"/>
      <c r="M814" s="853"/>
      <c r="N814" s="853"/>
      <c r="O814" s="853"/>
      <c r="P814" s="853"/>
      <c r="Q814" s="853"/>
      <c r="R814" s="853"/>
      <c r="S814" s="853"/>
      <c r="T814" s="853"/>
      <c r="U814" s="853"/>
      <c r="V814" s="853"/>
    </row>
    <row r="815" spans="1:22" s="27" customFormat="1" ht="30" customHeight="1" x14ac:dyDescent="0.25">
      <c r="A815" s="662"/>
      <c r="B815" s="382" t="s">
        <v>139</v>
      </c>
      <c r="C815" s="383" t="s">
        <v>2222</v>
      </c>
      <c r="D815" s="100">
        <f t="shared" si="57"/>
        <v>1221</v>
      </c>
      <c r="E815" s="455" t="s">
        <v>188</v>
      </c>
      <c r="F815" s="829">
        <v>0</v>
      </c>
      <c r="G815" s="924"/>
      <c r="H815" s="960" t="s">
        <v>557</v>
      </c>
      <c r="I815" s="923"/>
      <c r="J815" s="198" t="str">
        <f>IF(F815="","Belum Terisi",IF(AND(F814="ada",F815=0),"CEK",IF(AND(F814="Tidak Ada",F815&lt;&gt;0),"CEK","")))</f>
        <v/>
      </c>
      <c r="K815" s="31" t="str">
        <f>IF(J815="CEK",F814&amp;" Produk Unggulan Gandum","")</f>
        <v/>
      </c>
      <c r="L815" s="43"/>
      <c r="M815" s="853"/>
      <c r="N815" s="853"/>
      <c r="O815" s="853"/>
      <c r="P815" s="853"/>
      <c r="Q815" s="853"/>
      <c r="R815" s="853"/>
      <c r="S815" s="853"/>
      <c r="T815" s="853"/>
      <c r="U815" s="853"/>
      <c r="V815" s="853"/>
    </row>
    <row r="816" spans="1:22" s="2" customFormat="1" ht="30" customHeight="1" x14ac:dyDescent="0.25">
      <c r="A816" s="661">
        <f>A814+1</f>
        <v>215</v>
      </c>
      <c r="B816" s="382" t="s">
        <v>41</v>
      </c>
      <c r="C816" s="383" t="s">
        <v>2131</v>
      </c>
      <c r="D816" s="100">
        <f t="shared" si="57"/>
        <v>1222</v>
      </c>
      <c r="E816" s="427" t="s">
        <v>171</v>
      </c>
      <c r="F816" s="693" t="s">
        <v>263</v>
      </c>
      <c r="G816" s="924"/>
      <c r="H816" s="922"/>
      <c r="I816" s="923"/>
      <c r="J816" s="198" t="str">
        <f>IF(F816="","Belum Terisi",IF(OR(F816="ada",F816="Tidak Ada"),"","CEK"))</f>
        <v/>
      </c>
      <c r="K816" s="31" t="str">
        <f>IF(J816="CEK","Inputan Tidak Sesuai","")</f>
        <v/>
      </c>
      <c r="L816" s="43"/>
      <c r="M816" s="21"/>
      <c r="N816" s="21"/>
      <c r="O816" s="21"/>
      <c r="P816" s="21"/>
      <c r="Q816" s="21"/>
      <c r="R816" s="21"/>
      <c r="S816" s="21"/>
      <c r="T816" s="21"/>
      <c r="U816" s="21"/>
      <c r="V816" s="21"/>
    </row>
    <row r="817" spans="1:22" s="2" customFormat="1" ht="30" customHeight="1" x14ac:dyDescent="0.25">
      <c r="A817" s="662"/>
      <c r="B817" s="382" t="s">
        <v>139</v>
      </c>
      <c r="C817" s="383" t="s">
        <v>2222</v>
      </c>
      <c r="D817" s="100">
        <f t="shared" si="57"/>
        <v>1223</v>
      </c>
      <c r="E817" s="427" t="s">
        <v>188</v>
      </c>
      <c r="F817" s="829">
        <v>0</v>
      </c>
      <c r="G817" s="924"/>
      <c r="H817" s="960" t="s">
        <v>557</v>
      </c>
      <c r="I817" s="923"/>
      <c r="J817" s="198" t="str">
        <f>IF(F817="","Belum Terisi",IF(AND(F816="ada",F817=0),"CEK",IF(AND(F816="Tidak Ada",F817&lt;&gt;0),"CEK","")))</f>
        <v/>
      </c>
      <c r="K817" s="31" t="str">
        <f>IF(J817="CEK",F816&amp;" Produk Unggulan Sukun","")</f>
        <v/>
      </c>
      <c r="L817" s="43"/>
      <c r="M817" s="21"/>
      <c r="N817" s="21"/>
      <c r="O817" s="21"/>
      <c r="P817" s="21"/>
      <c r="Q817" s="21"/>
      <c r="R817" s="21"/>
      <c r="S817" s="21"/>
      <c r="T817" s="21"/>
      <c r="U817" s="21"/>
      <c r="V817" s="21"/>
    </row>
    <row r="818" spans="1:22" s="2" customFormat="1" ht="30" customHeight="1" x14ac:dyDescent="0.25">
      <c r="A818" s="661">
        <f>A816+1</f>
        <v>216</v>
      </c>
      <c r="B818" s="382" t="s">
        <v>41</v>
      </c>
      <c r="C818" s="383" t="s">
        <v>2132</v>
      </c>
      <c r="D818" s="100">
        <f t="shared" si="57"/>
        <v>1224</v>
      </c>
      <c r="E818" s="427" t="s">
        <v>171</v>
      </c>
      <c r="F818" s="693" t="s">
        <v>285</v>
      </c>
      <c r="G818" s="924"/>
      <c r="H818" s="922"/>
      <c r="I818" s="923"/>
      <c r="J818" s="198" t="str">
        <f>IF(F818="","Belum Terisi",IF(OR(F818="ada",F818="Tidak Ada"),"","CEK"))</f>
        <v/>
      </c>
      <c r="K818" s="31" t="str">
        <f>IF(J818="CEK","Inputan Tidak Sesuai","")</f>
        <v/>
      </c>
      <c r="L818" s="43"/>
      <c r="M818" s="21"/>
      <c r="N818" s="21"/>
      <c r="O818" s="21"/>
      <c r="P818" s="21"/>
      <c r="Q818" s="21"/>
      <c r="R818" s="21"/>
      <c r="S818" s="21"/>
      <c r="T818" s="21"/>
      <c r="U818" s="21"/>
      <c r="V818" s="21"/>
    </row>
    <row r="819" spans="1:22" s="2" customFormat="1" ht="30" customHeight="1" x14ac:dyDescent="0.25">
      <c r="A819" s="663"/>
      <c r="B819" s="382" t="s">
        <v>139</v>
      </c>
      <c r="C819" s="383" t="s">
        <v>2210</v>
      </c>
      <c r="D819" s="100">
        <f t="shared" si="57"/>
        <v>1225</v>
      </c>
      <c r="E819" s="427" t="s">
        <v>174</v>
      </c>
      <c r="F819" s="694" t="s">
        <v>2829</v>
      </c>
      <c r="G819" s="924"/>
      <c r="H819" s="922"/>
      <c r="I819" s="923"/>
      <c r="J819" s="198" t="str">
        <f>IF(F819="","Belum Terisi",IF(AND(F818="Tidak Ada",F819&lt;&gt;"-"),"CEK",IF(AND(F818="Ada",F819="-"),"CEK","")))</f>
        <v/>
      </c>
      <c r="K819" s="31" t="str">
        <f>IF(J819="CEK",F818&amp;" Terdapat Produk Unggulan Lainnya","")</f>
        <v/>
      </c>
      <c r="L819" s="43"/>
      <c r="M819" s="21"/>
      <c r="N819" s="21"/>
      <c r="O819" s="21"/>
      <c r="P819" s="21"/>
      <c r="Q819" s="21"/>
      <c r="R819" s="21"/>
      <c r="S819" s="21"/>
      <c r="T819" s="21"/>
      <c r="U819" s="21"/>
      <c r="V819" s="21"/>
    </row>
    <row r="820" spans="1:22" s="2" customFormat="1" ht="30" customHeight="1" x14ac:dyDescent="0.25">
      <c r="A820" s="664"/>
      <c r="B820" s="382" t="s">
        <v>251</v>
      </c>
      <c r="C820" s="383" t="s">
        <v>2222</v>
      </c>
      <c r="D820" s="100">
        <f t="shared" si="57"/>
        <v>1226</v>
      </c>
      <c r="E820" s="427" t="s">
        <v>188</v>
      </c>
      <c r="F820" s="829">
        <v>3</v>
      </c>
      <c r="G820" s="924"/>
      <c r="H820" s="960" t="s">
        <v>557</v>
      </c>
      <c r="I820" s="923"/>
      <c r="J820" s="198" t="str">
        <f>IF(F820="","Belum Terisi",IF(AND(F818="ada",F820=0),"CEK",IF(AND(F818="Tidak Ada",F820&lt;&gt;0),"CEK","")))</f>
        <v/>
      </c>
      <c r="K820" s="31" t="str">
        <f>IF(J820="CEK",F818&amp;" Produk Unggulan Pangan Lainnya","")</f>
        <v/>
      </c>
      <c r="L820" s="43"/>
      <c r="M820" s="21"/>
      <c r="N820" s="21"/>
      <c r="O820" s="21"/>
      <c r="P820" s="21"/>
      <c r="Q820" s="21"/>
      <c r="R820" s="21"/>
      <c r="S820" s="21"/>
      <c r="T820" s="21"/>
      <c r="U820" s="21"/>
      <c r="V820" s="21"/>
    </row>
    <row r="821" spans="1:22" s="2" customFormat="1" ht="30" customHeight="1" x14ac:dyDescent="0.25">
      <c r="A821" s="613" t="s">
        <v>161</v>
      </c>
      <c r="B821" s="298"/>
      <c r="C821" s="298"/>
      <c r="D821" s="428"/>
      <c r="E821" s="429"/>
      <c r="F821" s="714"/>
      <c r="G821" s="924"/>
      <c r="H821" s="922"/>
      <c r="I821" s="923"/>
      <c r="J821" s="98"/>
      <c r="K821" s="31"/>
      <c r="L821" s="43"/>
      <c r="M821" s="21"/>
      <c r="N821" s="21"/>
      <c r="O821" s="21"/>
      <c r="P821" s="21"/>
      <c r="Q821" s="21"/>
      <c r="R821" s="21"/>
      <c r="S821" s="21"/>
      <c r="T821" s="21"/>
      <c r="U821" s="21"/>
      <c r="V821" s="21"/>
    </row>
    <row r="822" spans="1:22" s="2" customFormat="1" ht="30" customHeight="1" x14ac:dyDescent="0.25">
      <c r="A822" s="613" t="s">
        <v>162</v>
      </c>
      <c r="B822" s="298"/>
      <c r="C822" s="298"/>
      <c r="D822" s="428"/>
      <c r="E822" s="429"/>
      <c r="F822" s="714"/>
      <c r="G822" s="924"/>
      <c r="H822" s="922"/>
      <c r="I822" s="923" t="s">
        <v>263</v>
      </c>
      <c r="J822" s="98"/>
      <c r="K822" s="31"/>
      <c r="L822" s="43"/>
      <c r="M822" s="21"/>
      <c r="N822" s="21"/>
      <c r="O822" s="21"/>
      <c r="P822" s="21"/>
      <c r="Q822" s="21"/>
      <c r="R822" s="21"/>
      <c r="S822" s="21"/>
      <c r="T822" s="21"/>
      <c r="U822" s="21"/>
      <c r="V822" s="21"/>
    </row>
    <row r="823" spans="1:22" s="2" customFormat="1" ht="30" customHeight="1" x14ac:dyDescent="0.25">
      <c r="A823" s="661">
        <f>A818+1</f>
        <v>217</v>
      </c>
      <c r="B823" s="382" t="s">
        <v>41</v>
      </c>
      <c r="C823" s="383" t="s">
        <v>2133</v>
      </c>
      <c r="D823" s="100">
        <f>D820+1</f>
        <v>1227</v>
      </c>
      <c r="E823" s="427" t="s">
        <v>171</v>
      </c>
      <c r="F823" s="693" t="s">
        <v>263</v>
      </c>
      <c r="G823" s="924"/>
      <c r="H823" s="922"/>
      <c r="I823" s="923" t="str">
        <f>IF(F823="ada","TOMAT","")</f>
        <v/>
      </c>
      <c r="J823" s="198" t="str">
        <f>IF(F823="","Belum Terisi",IF(OR(F823="ada",F823="Tidak Ada"),"","CEK"))</f>
        <v/>
      </c>
      <c r="K823" s="31" t="str">
        <f>IF(J823="CEK","Inputan Tidak Sesuai","")</f>
        <v/>
      </c>
      <c r="L823" s="31"/>
      <c r="M823" s="21"/>
      <c r="N823" s="21"/>
      <c r="O823" s="21"/>
      <c r="P823" s="21"/>
      <c r="Q823" s="21"/>
      <c r="R823" s="21"/>
      <c r="S823" s="21"/>
      <c r="T823" s="21"/>
      <c r="U823" s="21"/>
      <c r="V823" s="21"/>
    </row>
    <row r="824" spans="1:22" s="2" customFormat="1" ht="30" customHeight="1" x14ac:dyDescent="0.25">
      <c r="A824" s="662"/>
      <c r="B824" s="382" t="s">
        <v>139</v>
      </c>
      <c r="C824" s="383" t="s">
        <v>2219</v>
      </c>
      <c r="D824" s="100">
        <f t="shared" ref="D824:D887" si="58">D823+1</f>
        <v>1228</v>
      </c>
      <c r="E824" s="427" t="s">
        <v>188</v>
      </c>
      <c r="F824" s="829">
        <v>0</v>
      </c>
      <c r="G824" s="924"/>
      <c r="H824" s="960" t="s">
        <v>557</v>
      </c>
      <c r="I824" s="923" t="str">
        <f>IF(F825="ada","SEMANGKA","")</f>
        <v/>
      </c>
      <c r="J824" s="198" t="str">
        <f>IF(F824="","Belum Terisi",IF(AND(F823="ada",F824=0),"CEK",IF(AND(F823="Tidak Ada",F824&lt;&gt;0),"CEK","")))</f>
        <v/>
      </c>
      <c r="K824" s="31" t="str">
        <f>IF(J824="CEK",F823&amp;" Produk Unggulan Tomat","")</f>
        <v/>
      </c>
      <c r="L824" s="43"/>
      <c r="M824" s="21"/>
      <c r="N824" s="21"/>
      <c r="O824" s="21"/>
      <c r="P824" s="21"/>
      <c r="Q824" s="21"/>
      <c r="R824" s="21"/>
      <c r="S824" s="21"/>
      <c r="T824" s="21"/>
      <c r="U824" s="21"/>
      <c r="V824" s="21"/>
    </row>
    <row r="825" spans="1:22" s="2" customFormat="1" ht="30" customHeight="1" x14ac:dyDescent="0.25">
      <c r="A825" s="661">
        <f>A823+1</f>
        <v>218</v>
      </c>
      <c r="B825" s="382" t="s">
        <v>41</v>
      </c>
      <c r="C825" s="383" t="s">
        <v>2134</v>
      </c>
      <c r="D825" s="100">
        <f t="shared" si="58"/>
        <v>1229</v>
      </c>
      <c r="E825" s="427" t="s">
        <v>171</v>
      </c>
      <c r="F825" s="693" t="s">
        <v>263</v>
      </c>
      <c r="G825" s="924"/>
      <c r="H825" s="922"/>
      <c r="I825" s="923" t="str">
        <f>IF(F827="ada","JERUK NIPIS","")</f>
        <v/>
      </c>
      <c r="J825" s="198" t="str">
        <f>IF(F825="","Belum Terisi",IF(OR(F825="ada",F825="Tidak Ada"),"","CEK"))</f>
        <v/>
      </c>
      <c r="K825" s="31" t="str">
        <f>IF(J825="CEK","Inputan Tidak Sesuai","")</f>
        <v/>
      </c>
      <c r="L825" s="43"/>
      <c r="M825" s="21"/>
      <c r="N825" s="21"/>
      <c r="O825" s="21"/>
      <c r="P825" s="21"/>
      <c r="Q825" s="21"/>
      <c r="R825" s="21"/>
      <c r="S825" s="21"/>
      <c r="T825" s="21"/>
      <c r="U825" s="21"/>
      <c r="V825" s="21"/>
    </row>
    <row r="826" spans="1:22" s="2" customFormat="1" ht="30" customHeight="1" x14ac:dyDescent="0.25">
      <c r="A826" s="662"/>
      <c r="B826" s="382" t="s">
        <v>139</v>
      </c>
      <c r="C826" s="383" t="s">
        <v>2219</v>
      </c>
      <c r="D826" s="100">
        <f t="shared" si="58"/>
        <v>1230</v>
      </c>
      <c r="E826" s="427" t="s">
        <v>188</v>
      </c>
      <c r="F826" s="829">
        <v>0</v>
      </c>
      <c r="G826" s="924"/>
      <c r="H826" s="960" t="s">
        <v>557</v>
      </c>
      <c r="I826" s="923" t="str">
        <f>IF(F829="ada","JERUK LEMON","")</f>
        <v/>
      </c>
      <c r="J826" s="198" t="str">
        <f>IF(F826="","Belum Terisi",IF(AND(F825="ada",F826=0),"CEK",IF(AND(F825="Tidak Ada",F826&lt;&gt;0),"CEK","")))</f>
        <v/>
      </c>
      <c r="K826" s="31" t="str">
        <f>IF(J826="CEK",F825&amp;" Produk Unggulan Semangka","")</f>
        <v/>
      </c>
      <c r="L826" s="43"/>
      <c r="M826" s="21"/>
      <c r="N826" s="21"/>
      <c r="O826" s="21"/>
      <c r="P826" s="21"/>
      <c r="Q826" s="21"/>
      <c r="R826" s="21"/>
      <c r="S826" s="21"/>
      <c r="T826" s="21"/>
      <c r="U826" s="21"/>
      <c r="V826" s="21"/>
    </row>
    <row r="827" spans="1:22" s="2" customFormat="1" ht="30" customHeight="1" x14ac:dyDescent="0.25">
      <c r="A827" s="661">
        <f>A825+1</f>
        <v>219</v>
      </c>
      <c r="B827" s="382" t="s">
        <v>41</v>
      </c>
      <c r="C827" s="383" t="s">
        <v>2135</v>
      </c>
      <c r="D827" s="100">
        <f t="shared" si="58"/>
        <v>1231</v>
      </c>
      <c r="E827" s="427" t="s">
        <v>171</v>
      </c>
      <c r="F827" s="693" t="s">
        <v>263</v>
      </c>
      <c r="G827" s="924"/>
      <c r="H827" s="922"/>
      <c r="I827" s="923" t="str">
        <f>IF(F831="ada",F832,"")</f>
        <v/>
      </c>
      <c r="J827" s="198" t="str">
        <f>IF(F827="","Belum Terisi",IF(OR(F827="ada",F827="Tidak Ada"),"","CEK"))</f>
        <v/>
      </c>
      <c r="K827" s="31" t="str">
        <f>IF(J827="CEK","Inputan Tidak Sesuai","")</f>
        <v/>
      </c>
      <c r="L827" s="43"/>
      <c r="M827" s="21"/>
      <c r="N827" s="21"/>
      <c r="O827" s="21"/>
      <c r="P827" s="21"/>
      <c r="Q827" s="21"/>
      <c r="R827" s="21"/>
      <c r="S827" s="21"/>
      <c r="T827" s="21"/>
      <c r="U827" s="21"/>
      <c r="V827" s="21"/>
    </row>
    <row r="828" spans="1:22" s="2" customFormat="1" ht="30" customHeight="1" x14ac:dyDescent="0.25">
      <c r="A828" s="662"/>
      <c r="B828" s="382" t="s">
        <v>139</v>
      </c>
      <c r="C828" s="383" t="s">
        <v>2219</v>
      </c>
      <c r="D828" s="100">
        <f t="shared" si="58"/>
        <v>1232</v>
      </c>
      <c r="E828" s="427" t="s">
        <v>188</v>
      </c>
      <c r="F828" s="829">
        <v>0</v>
      </c>
      <c r="G828" s="924"/>
      <c r="H828" s="960" t="s">
        <v>557</v>
      </c>
      <c r="I828" s="923" t="str">
        <f>IF(F834="ada","JERUK BALI","")</f>
        <v/>
      </c>
      <c r="J828" s="198" t="str">
        <f>IF(F828="","Belum Terisi",IF(AND(F827="ada",F828=0),"CEK",IF(AND(F827="Tidak Ada",F828&lt;&gt;0),"CEK","")))</f>
        <v/>
      </c>
      <c r="K828" s="31" t="str">
        <f>IF(J828="CEK",F827&amp;" Produk Unggulan Jeruk Nipis","")</f>
        <v/>
      </c>
      <c r="L828" s="31"/>
      <c r="M828" s="21"/>
      <c r="N828" s="21"/>
      <c r="O828" s="21"/>
      <c r="P828" s="21"/>
      <c r="Q828" s="21"/>
      <c r="R828" s="21"/>
      <c r="S828" s="21"/>
      <c r="T828" s="21"/>
      <c r="U828" s="21"/>
      <c r="V828" s="21"/>
    </row>
    <row r="829" spans="1:22" s="2" customFormat="1" ht="30" customHeight="1" x14ac:dyDescent="0.25">
      <c r="A829" s="661">
        <f>A827+1</f>
        <v>220</v>
      </c>
      <c r="B829" s="382" t="s">
        <v>41</v>
      </c>
      <c r="C829" s="383" t="s">
        <v>2136</v>
      </c>
      <c r="D829" s="100">
        <f t="shared" si="58"/>
        <v>1233</v>
      </c>
      <c r="E829" s="427" t="s">
        <v>171</v>
      </c>
      <c r="F829" s="693" t="s">
        <v>263</v>
      </c>
      <c r="G829" s="924"/>
      <c r="H829" s="922"/>
      <c r="I829" s="923" t="str">
        <f>IF(F836="ada","MANGGA MANALAGI","")</f>
        <v/>
      </c>
      <c r="J829" s="198" t="str">
        <f>IF(F829="","Belum Terisi",IF(OR(F829="ada",F829="Tidak Ada"),"","CEK"))</f>
        <v/>
      </c>
      <c r="K829" s="31" t="str">
        <f>IF(J829="CEK","Inputan Tidak Sesuai","")</f>
        <v/>
      </c>
      <c r="L829" s="43"/>
      <c r="M829" s="21"/>
      <c r="N829" s="21"/>
      <c r="O829" s="21"/>
      <c r="P829" s="21"/>
      <c r="Q829" s="21"/>
      <c r="R829" s="21"/>
      <c r="S829" s="21"/>
      <c r="T829" s="21"/>
      <c r="U829" s="21"/>
      <c r="V829" s="21"/>
    </row>
    <row r="830" spans="1:22" s="2" customFormat="1" ht="30" customHeight="1" x14ac:dyDescent="0.25">
      <c r="A830" s="662"/>
      <c r="B830" s="382" t="s">
        <v>139</v>
      </c>
      <c r="C830" s="383" t="s">
        <v>2219</v>
      </c>
      <c r="D830" s="100">
        <f t="shared" si="58"/>
        <v>1234</v>
      </c>
      <c r="E830" s="427" t="s">
        <v>188</v>
      </c>
      <c r="F830" s="829">
        <v>0</v>
      </c>
      <c r="G830" s="924"/>
      <c r="H830" s="960" t="s">
        <v>557</v>
      </c>
      <c r="I830" s="923" t="str">
        <f>IF(F838="ada","MANGGA ALPUKAT","")</f>
        <v/>
      </c>
      <c r="J830" s="198" t="str">
        <f>IF(F830="","Belum Terisi",IF(AND(F829="ada",F830=0),"CEK",IF(AND(F829="Tidak Ada",F830&lt;&gt;0),"CEK","")))</f>
        <v/>
      </c>
      <c r="K830" s="31" t="str">
        <f>IF(J830="CEK",F829&amp;" Produk Unggulan Jeruk Lemon","")</f>
        <v/>
      </c>
      <c r="L830" s="43"/>
      <c r="M830" s="21"/>
      <c r="N830" s="21"/>
      <c r="O830" s="21"/>
      <c r="P830" s="21"/>
      <c r="Q830" s="21"/>
      <c r="R830" s="21"/>
      <c r="S830" s="21"/>
      <c r="T830" s="21"/>
      <c r="U830" s="21"/>
      <c r="V830" s="21"/>
    </row>
    <row r="831" spans="1:22" s="2" customFormat="1" ht="30" customHeight="1" x14ac:dyDescent="0.25">
      <c r="A831" s="661">
        <f>A829+1</f>
        <v>221</v>
      </c>
      <c r="B831" s="382" t="s">
        <v>41</v>
      </c>
      <c r="C831" s="383" t="s">
        <v>2137</v>
      </c>
      <c r="D831" s="100">
        <f t="shared" si="58"/>
        <v>1235</v>
      </c>
      <c r="E831" s="427" t="s">
        <v>171</v>
      </c>
      <c r="F831" s="693" t="s">
        <v>263</v>
      </c>
      <c r="G831" s="924"/>
      <c r="H831" s="960"/>
      <c r="I831" s="923" t="str">
        <f>IF(F840="ada","MANGGA HARUMANIS","")</f>
        <v/>
      </c>
      <c r="J831" s="198" t="str">
        <f>IF(F831="","Belum Terisi",IF(OR(F831="ada",F831="Tidak Ada"),"","CEK"))</f>
        <v/>
      </c>
      <c r="K831" s="31" t="str">
        <f>IF(J831="CEK","Inputan Tidak Sesuai","")</f>
        <v/>
      </c>
      <c r="L831" s="31"/>
      <c r="M831" s="21"/>
      <c r="N831" s="21"/>
      <c r="O831" s="21"/>
      <c r="P831" s="21"/>
      <c r="Q831" s="21"/>
      <c r="R831" s="21"/>
      <c r="S831" s="21"/>
      <c r="T831" s="21"/>
      <c r="U831" s="21"/>
      <c r="V831" s="21"/>
    </row>
    <row r="832" spans="1:22" s="2" customFormat="1" ht="30" customHeight="1" x14ac:dyDescent="0.25">
      <c r="A832" s="663"/>
      <c r="B832" s="382" t="s">
        <v>139</v>
      </c>
      <c r="C832" s="383" t="s">
        <v>2211</v>
      </c>
      <c r="D832" s="100">
        <f t="shared" si="58"/>
        <v>1236</v>
      </c>
      <c r="E832" s="427" t="s">
        <v>174</v>
      </c>
      <c r="F832" s="694" t="s">
        <v>240</v>
      </c>
      <c r="G832" s="924"/>
      <c r="H832" s="922"/>
      <c r="I832" s="923" t="str">
        <f>IF(F842="ada","MANGGA GEDONGGINCU","")</f>
        <v/>
      </c>
      <c r="J832" s="198" t="str">
        <f>IF(F832="","Belum Terisi",IF(AND(F831="Tidak Ada",F832&lt;&gt;"-"),"CEK",IF(AND(F831="Ada",F832="-"),"CEK","")))</f>
        <v/>
      </c>
      <c r="K832" s="31" t="str">
        <f>IF(J832="CEK",F831&amp;" Terdapat Produk Unggulan Buah Jeruk Lokal","")</f>
        <v/>
      </c>
      <c r="L832" s="43"/>
      <c r="M832" s="21"/>
      <c r="N832" s="21"/>
      <c r="O832" s="21"/>
      <c r="P832" s="21"/>
      <c r="Q832" s="21"/>
      <c r="R832" s="21"/>
      <c r="S832" s="21"/>
      <c r="T832" s="21"/>
      <c r="U832" s="21"/>
      <c r="V832" s="21"/>
    </row>
    <row r="833" spans="1:22" s="2" customFormat="1" ht="30" customHeight="1" x14ac:dyDescent="0.25">
      <c r="A833" s="664"/>
      <c r="B833" s="382" t="s">
        <v>251</v>
      </c>
      <c r="C833" s="383" t="s">
        <v>2219</v>
      </c>
      <c r="D833" s="100">
        <f t="shared" si="58"/>
        <v>1237</v>
      </c>
      <c r="E833" s="427" t="s">
        <v>188</v>
      </c>
      <c r="F833" s="829">
        <v>0</v>
      </c>
      <c r="G833" s="924"/>
      <c r="H833" s="960" t="s">
        <v>557</v>
      </c>
      <c r="I833" s="923" t="str">
        <f>IF(F844="ada","MANGGA MALIBU","")</f>
        <v/>
      </c>
      <c r="J833" s="198" t="str">
        <f>IF(F833="","Belum Terisi",IF(AND(F831="ada",F833=0),"CEK",IF(AND(F831="Tidak Ada",F833&lt;&gt;0),"CEK","")))</f>
        <v/>
      </c>
      <c r="K833" s="31" t="str">
        <f>IF(J833="CEK",F831&amp;" Produk Unggulan Jeruk Lokal","")</f>
        <v/>
      </c>
      <c r="L833" s="43"/>
      <c r="M833" s="21"/>
      <c r="N833" s="21"/>
      <c r="O833" s="21"/>
      <c r="P833" s="21"/>
      <c r="Q833" s="21"/>
      <c r="R833" s="21"/>
      <c r="S833" s="21"/>
      <c r="T833" s="21"/>
      <c r="U833" s="21"/>
      <c r="V833" s="21"/>
    </row>
    <row r="834" spans="1:22" s="2" customFormat="1" ht="30" customHeight="1" x14ac:dyDescent="0.25">
      <c r="A834" s="661">
        <f>A831+1</f>
        <v>222</v>
      </c>
      <c r="B834" s="382" t="s">
        <v>41</v>
      </c>
      <c r="C834" s="383" t="s">
        <v>2138</v>
      </c>
      <c r="D834" s="100">
        <f t="shared" si="58"/>
        <v>1238</v>
      </c>
      <c r="E834" s="427" t="s">
        <v>171</v>
      </c>
      <c r="F834" s="693" t="s">
        <v>263</v>
      </c>
      <c r="G834" s="924"/>
      <c r="H834" s="922"/>
      <c r="I834" s="923" t="str">
        <f>IF(F846="ada","MANGGA APEL","")</f>
        <v/>
      </c>
      <c r="J834" s="198" t="str">
        <f>IF(F834="","Belum Terisi",IF(OR(F834="ada",F834="Tidak Ada"),"","CEK"))</f>
        <v/>
      </c>
      <c r="K834" s="31" t="str">
        <f>IF(J834="CEK","Inputan Tidak Sesuai","")</f>
        <v/>
      </c>
      <c r="L834" s="31"/>
      <c r="M834" s="21"/>
      <c r="N834" s="21"/>
      <c r="O834" s="21"/>
      <c r="P834" s="21"/>
      <c r="Q834" s="21"/>
      <c r="R834" s="21"/>
      <c r="S834" s="21"/>
      <c r="T834" s="21"/>
      <c r="U834" s="21"/>
      <c r="V834" s="21"/>
    </row>
    <row r="835" spans="1:22" s="2" customFormat="1" ht="30" customHeight="1" x14ac:dyDescent="0.25">
      <c r="A835" s="662"/>
      <c r="B835" s="382" t="s">
        <v>139</v>
      </c>
      <c r="C835" s="383" t="s">
        <v>2219</v>
      </c>
      <c r="D835" s="100">
        <f t="shared" si="58"/>
        <v>1239</v>
      </c>
      <c r="E835" s="427" t="s">
        <v>188</v>
      </c>
      <c r="F835" s="829">
        <v>0</v>
      </c>
      <c r="G835" s="924"/>
      <c r="H835" s="960" t="s">
        <v>557</v>
      </c>
      <c r="I835" s="923" t="str">
        <f>IF(F848="ada",F849,"")</f>
        <v/>
      </c>
      <c r="J835" s="198" t="str">
        <f>IF(F835="","Belum Terisi",IF(AND(F834="ada",F835=0),"CEK",IF(AND(F834="Tidak Ada",F835&lt;&gt;0),"CEK","")))</f>
        <v/>
      </c>
      <c r="K835" s="31" t="str">
        <f>IF(J835="CEK",F834&amp;" Produk Unggulan Jeruk Bali","")</f>
        <v/>
      </c>
      <c r="L835" s="43"/>
      <c r="M835" s="21"/>
      <c r="N835" s="21"/>
      <c r="O835" s="21"/>
      <c r="P835" s="21"/>
      <c r="Q835" s="21"/>
      <c r="R835" s="21"/>
      <c r="S835" s="21"/>
      <c r="T835" s="21"/>
      <c r="U835" s="21"/>
      <c r="V835" s="21"/>
    </row>
    <row r="836" spans="1:22" s="2" customFormat="1" ht="30" customHeight="1" x14ac:dyDescent="0.25">
      <c r="A836" s="661">
        <f>A834+1</f>
        <v>223</v>
      </c>
      <c r="B836" s="382" t="s">
        <v>41</v>
      </c>
      <c r="C836" s="383" t="s">
        <v>2139</v>
      </c>
      <c r="D836" s="100">
        <f t="shared" si="58"/>
        <v>1240</v>
      </c>
      <c r="E836" s="427" t="s">
        <v>171</v>
      </c>
      <c r="F836" s="693" t="s">
        <v>263</v>
      </c>
      <c r="G836" s="924"/>
      <c r="H836" s="922"/>
      <c r="I836" s="923" t="str">
        <f>IF(F851="ada","MELON","")</f>
        <v/>
      </c>
      <c r="J836" s="198" t="str">
        <f>IF(F836="","Belum Terisi",IF(OR(F836="ada",F836="Tidak Ada"),"","CEK"))</f>
        <v/>
      </c>
      <c r="K836" s="31" t="str">
        <f>IF(J836="CEK","Inputan Tidak Sesuai","")</f>
        <v/>
      </c>
      <c r="L836" s="43"/>
      <c r="M836" s="21"/>
      <c r="N836" s="21"/>
      <c r="O836" s="21"/>
      <c r="P836" s="21"/>
      <c r="Q836" s="21"/>
      <c r="R836" s="21"/>
      <c r="S836" s="21"/>
      <c r="T836" s="21"/>
      <c r="U836" s="21"/>
      <c r="V836" s="21"/>
    </row>
    <row r="837" spans="1:22" s="2" customFormat="1" ht="30" customHeight="1" x14ac:dyDescent="0.25">
      <c r="A837" s="662"/>
      <c r="B837" s="382" t="s">
        <v>139</v>
      </c>
      <c r="C837" s="383" t="s">
        <v>2219</v>
      </c>
      <c r="D837" s="100">
        <f t="shared" si="58"/>
        <v>1241</v>
      </c>
      <c r="E837" s="427" t="s">
        <v>188</v>
      </c>
      <c r="F837" s="829">
        <v>0</v>
      </c>
      <c r="G837" s="924"/>
      <c r="H837" s="960" t="s">
        <v>557</v>
      </c>
      <c r="I837" s="923" t="str">
        <f>IF(F853="ada","STROBERI","")</f>
        <v/>
      </c>
      <c r="J837" s="198" t="str">
        <f>IF(F837="","Belum Terisi",IF(AND(F836="ada",F837=0),"CEK",IF(AND(F836="Tidak Ada",F837&lt;&gt;0),"CEK","")))</f>
        <v/>
      </c>
      <c r="K837" s="31" t="str">
        <f>IF(J837="CEK",F836&amp;" Produk Unggulan Buah Mangga Manalagi","")</f>
        <v/>
      </c>
      <c r="L837" s="43"/>
      <c r="M837" s="21"/>
      <c r="N837" s="21"/>
      <c r="O837" s="21"/>
      <c r="P837" s="21"/>
      <c r="Q837" s="21"/>
      <c r="R837" s="21"/>
      <c r="S837" s="21"/>
      <c r="T837" s="21"/>
      <c r="U837" s="21"/>
      <c r="V837" s="21"/>
    </row>
    <row r="838" spans="1:22" s="2" customFormat="1" ht="30" customHeight="1" x14ac:dyDescent="0.25">
      <c r="A838" s="661">
        <f>A836+1</f>
        <v>224</v>
      </c>
      <c r="B838" s="382" t="s">
        <v>41</v>
      </c>
      <c r="C838" s="383" t="s">
        <v>2140</v>
      </c>
      <c r="D838" s="100">
        <f t="shared" si="58"/>
        <v>1242</v>
      </c>
      <c r="E838" s="427" t="s">
        <v>171</v>
      </c>
      <c r="F838" s="693" t="s">
        <v>263</v>
      </c>
      <c r="G838" s="924"/>
      <c r="H838" s="922"/>
      <c r="I838" s="923" t="str">
        <f>IF(F855="ada","RAMBUTAN","")</f>
        <v/>
      </c>
      <c r="J838" s="198" t="str">
        <f>IF(F838="","Belum Terisi",IF(OR(F838="ada",F838="Tidak Ada"),"","CEK"))</f>
        <v/>
      </c>
      <c r="K838" s="31" t="str">
        <f>IF(J838="CEK","Inputan Tidak Sesuai","")</f>
        <v/>
      </c>
      <c r="L838" s="43"/>
      <c r="M838" s="21"/>
      <c r="N838" s="21"/>
      <c r="O838" s="21"/>
      <c r="P838" s="21"/>
      <c r="Q838" s="21"/>
      <c r="R838" s="21"/>
      <c r="S838" s="21"/>
      <c r="T838" s="21"/>
      <c r="U838" s="21"/>
      <c r="V838" s="21"/>
    </row>
    <row r="839" spans="1:22" s="2" customFormat="1" ht="30" customHeight="1" x14ac:dyDescent="0.25">
      <c r="A839" s="662"/>
      <c r="B839" s="382" t="s">
        <v>139</v>
      </c>
      <c r="C839" s="383" t="s">
        <v>2219</v>
      </c>
      <c r="D839" s="100">
        <f t="shared" si="58"/>
        <v>1243</v>
      </c>
      <c r="E839" s="427" t="s">
        <v>188</v>
      </c>
      <c r="F839" s="829">
        <v>0</v>
      </c>
      <c r="G839" s="924"/>
      <c r="H839" s="960" t="s">
        <v>557</v>
      </c>
      <c r="I839" s="923" t="str">
        <f>IF(F857="ada","PEPAYA","")</f>
        <v/>
      </c>
      <c r="J839" s="198" t="str">
        <f>IF(F839="","Belum Terisi",IF(AND(F838="ada",F839=0),"CEK",IF(AND(F838="Tidak Ada",F839&lt;&gt;0),"CEK","")))</f>
        <v/>
      </c>
      <c r="K839" s="31" t="str">
        <f>IF(J839="CEK",F838&amp;" Produk Unggulan Mangga Alpukat","")</f>
        <v/>
      </c>
      <c r="L839" s="31"/>
      <c r="M839" s="21"/>
      <c r="N839" s="21"/>
      <c r="O839" s="21"/>
      <c r="P839" s="21"/>
      <c r="Q839" s="21"/>
      <c r="R839" s="21"/>
      <c r="S839" s="21"/>
      <c r="T839" s="21"/>
      <c r="U839" s="21"/>
      <c r="V839" s="21"/>
    </row>
    <row r="840" spans="1:22" s="2" customFormat="1" ht="30" customHeight="1" x14ac:dyDescent="0.25">
      <c r="A840" s="661">
        <f>A838+1</f>
        <v>225</v>
      </c>
      <c r="B840" s="382" t="s">
        <v>41</v>
      </c>
      <c r="C840" s="383" t="s">
        <v>2141</v>
      </c>
      <c r="D840" s="100">
        <f t="shared" si="58"/>
        <v>1244</v>
      </c>
      <c r="E840" s="427" t="s">
        <v>171</v>
      </c>
      <c r="F840" s="693" t="s">
        <v>263</v>
      </c>
      <c r="G840" s="924"/>
      <c r="H840" s="922"/>
      <c r="I840" s="923" t="str">
        <f>IF(F859="ada","JAMBU","")</f>
        <v/>
      </c>
      <c r="J840" s="198" t="str">
        <f>IF(F840="","Belum Terisi",IF(OR(F840="ada",F840="Tidak Ada"),"","CEK"))</f>
        <v/>
      </c>
      <c r="K840" s="31" t="str">
        <f>IF(J840="CEK","Inputan Tidak Sesuai","")</f>
        <v/>
      </c>
      <c r="L840" s="43"/>
      <c r="M840" s="21"/>
      <c r="N840" s="21"/>
      <c r="O840" s="21"/>
      <c r="P840" s="21"/>
      <c r="Q840" s="21"/>
      <c r="R840" s="21"/>
      <c r="S840" s="21"/>
      <c r="T840" s="21"/>
      <c r="U840" s="21"/>
      <c r="V840" s="21"/>
    </row>
    <row r="841" spans="1:22" s="2" customFormat="1" ht="30" customHeight="1" x14ac:dyDescent="0.25">
      <c r="A841" s="662"/>
      <c r="B841" s="382" t="s">
        <v>139</v>
      </c>
      <c r="C841" s="383" t="s">
        <v>2219</v>
      </c>
      <c r="D841" s="100">
        <f t="shared" si="58"/>
        <v>1245</v>
      </c>
      <c r="E841" s="427" t="s">
        <v>188</v>
      </c>
      <c r="F841" s="829">
        <v>0</v>
      </c>
      <c r="G841" s="924"/>
      <c r="H841" s="960" t="s">
        <v>557</v>
      </c>
      <c r="I841" s="923" t="str">
        <f>IF(F861="ada","PISANG","")</f>
        <v/>
      </c>
      <c r="J841" s="198" t="str">
        <f>IF(F841="","Belum Terisi",IF(AND(F840="ada",F841=0),"CEK",IF(AND(F840="Tidak Ada",F841&lt;&gt;0),"CEK","")))</f>
        <v/>
      </c>
      <c r="K841" s="31" t="str">
        <f>IF(J841="CEK",F840&amp;" Produk Unggulan Mangga Harumanis","")</f>
        <v/>
      </c>
      <c r="L841" s="43"/>
      <c r="M841" s="21"/>
      <c r="N841" s="21"/>
      <c r="O841" s="21"/>
      <c r="P841" s="21"/>
      <c r="Q841" s="21"/>
      <c r="R841" s="21"/>
      <c r="S841" s="21"/>
      <c r="T841" s="21"/>
      <c r="U841" s="21"/>
      <c r="V841" s="21"/>
    </row>
    <row r="842" spans="1:22" s="2" customFormat="1" ht="30" customHeight="1" x14ac:dyDescent="0.25">
      <c r="A842" s="661">
        <f>A840+1</f>
        <v>226</v>
      </c>
      <c r="B842" s="382" t="s">
        <v>41</v>
      </c>
      <c r="C842" s="383" t="s">
        <v>2142</v>
      </c>
      <c r="D842" s="100">
        <f t="shared" si="58"/>
        <v>1246</v>
      </c>
      <c r="E842" s="427" t="s">
        <v>171</v>
      </c>
      <c r="F842" s="693" t="s">
        <v>263</v>
      </c>
      <c r="G842" s="924"/>
      <c r="H842" s="922"/>
      <c r="I842" s="923" t="str">
        <f>IF(F863="ada","NANAS","")</f>
        <v/>
      </c>
      <c r="J842" s="198" t="str">
        <f>IF(F842="","Belum Terisi",IF(OR(F842="ada",F842="Tidak Ada"),"","CEK"))</f>
        <v/>
      </c>
      <c r="K842" s="31" t="str">
        <f>IF(J842="CEK","Inputan Tidak Sesuai","")</f>
        <v/>
      </c>
      <c r="L842" s="31"/>
      <c r="M842" s="21"/>
      <c r="N842" s="21"/>
      <c r="O842" s="21"/>
      <c r="P842" s="21"/>
      <c r="Q842" s="21"/>
      <c r="R842" s="21"/>
      <c r="S842" s="21"/>
      <c r="T842" s="21"/>
      <c r="U842" s="21"/>
      <c r="V842" s="21"/>
    </row>
    <row r="843" spans="1:22" s="2" customFormat="1" ht="30" customHeight="1" x14ac:dyDescent="0.25">
      <c r="A843" s="662"/>
      <c r="B843" s="382" t="s">
        <v>139</v>
      </c>
      <c r="C843" s="383" t="s">
        <v>2219</v>
      </c>
      <c r="D843" s="100">
        <f t="shared" si="58"/>
        <v>1247</v>
      </c>
      <c r="E843" s="427" t="s">
        <v>188</v>
      </c>
      <c r="F843" s="829">
        <v>0</v>
      </c>
      <c r="G843" s="924"/>
      <c r="H843" s="960" t="s">
        <v>557</v>
      </c>
      <c r="I843" s="923" t="str">
        <f>IF(F865="ada","APEL","")</f>
        <v/>
      </c>
      <c r="J843" s="198" t="str">
        <f>IF(F843="","Belum Terisi",IF(AND(F842="ada",F843=0),"CEK",IF(AND(F842="Tidak Ada",F843&lt;&gt;0),"CEK","")))</f>
        <v/>
      </c>
      <c r="K843" s="31" t="str">
        <f>IF(J843="CEK",F842&amp;" Produk Unggulan Mangga Gedonggincu","")</f>
        <v/>
      </c>
      <c r="L843" s="43"/>
      <c r="M843" s="21"/>
      <c r="N843" s="21"/>
      <c r="O843" s="21"/>
      <c r="P843" s="21"/>
      <c r="Q843" s="21"/>
      <c r="R843" s="21"/>
      <c r="S843" s="21"/>
      <c r="T843" s="21"/>
      <c r="U843" s="21"/>
      <c r="V843" s="21"/>
    </row>
    <row r="844" spans="1:22" s="2" customFormat="1" ht="30" customHeight="1" x14ac:dyDescent="0.25">
      <c r="A844" s="661">
        <f>A842+1</f>
        <v>227</v>
      </c>
      <c r="B844" s="382" t="s">
        <v>41</v>
      </c>
      <c r="C844" s="383" t="s">
        <v>2143</v>
      </c>
      <c r="D844" s="100">
        <f t="shared" si="58"/>
        <v>1248</v>
      </c>
      <c r="E844" s="427" t="s">
        <v>171</v>
      </c>
      <c r="F844" s="693" t="s">
        <v>263</v>
      </c>
      <c r="G844" s="924"/>
      <c r="H844" s="922"/>
      <c r="I844" s="923" t="str">
        <f>IF(F867="ada","ANGGUR","")</f>
        <v/>
      </c>
      <c r="J844" s="198" t="str">
        <f>IF(F844="","Belum Terisi",IF(OR(F844="ada",F844="Tidak Ada"),"","CEK"))</f>
        <v/>
      </c>
      <c r="K844" s="31" t="str">
        <f>IF(J844="CEK","Inputan Tidak Sesuai","")</f>
        <v/>
      </c>
      <c r="L844" s="43"/>
      <c r="M844" s="21"/>
      <c r="N844" s="21"/>
      <c r="O844" s="21"/>
      <c r="P844" s="21"/>
      <c r="Q844" s="21"/>
      <c r="R844" s="21"/>
      <c r="S844" s="21"/>
      <c r="T844" s="21"/>
      <c r="U844" s="21"/>
      <c r="V844" s="21"/>
    </row>
    <row r="845" spans="1:22" s="2" customFormat="1" ht="30" customHeight="1" x14ac:dyDescent="0.25">
      <c r="A845" s="662"/>
      <c r="B845" s="382" t="s">
        <v>139</v>
      </c>
      <c r="C845" s="383" t="s">
        <v>2219</v>
      </c>
      <c r="D845" s="100">
        <f t="shared" si="58"/>
        <v>1249</v>
      </c>
      <c r="E845" s="427" t="s">
        <v>188</v>
      </c>
      <c r="F845" s="829">
        <v>0</v>
      </c>
      <c r="G845" s="924"/>
      <c r="H845" s="960" t="s">
        <v>557</v>
      </c>
      <c r="I845" s="923" t="str">
        <f>IF(F869="ada","ALPUKAT","")</f>
        <v/>
      </c>
      <c r="J845" s="198" t="str">
        <f>IF(F845="","Belum Terisi",IF(AND(F844="ada",F845=0),"CEK",IF(AND(F844="Tidak Ada",F845&lt;&gt;0),"CEK","")))</f>
        <v/>
      </c>
      <c r="K845" s="31" t="str">
        <f>IF(J845="CEK",F844&amp;" Produk Unggulan Mangga Malibu","")</f>
        <v/>
      </c>
      <c r="L845" s="43"/>
      <c r="M845" s="21"/>
      <c r="N845" s="21"/>
      <c r="O845" s="21"/>
      <c r="P845" s="21"/>
      <c r="Q845" s="21"/>
      <c r="R845" s="21"/>
      <c r="S845" s="21"/>
      <c r="T845" s="21"/>
      <c r="U845" s="21"/>
      <c r="V845" s="21"/>
    </row>
    <row r="846" spans="1:22" s="2" customFormat="1" ht="30" customHeight="1" x14ac:dyDescent="0.25">
      <c r="A846" s="661">
        <f>A844+1</f>
        <v>228</v>
      </c>
      <c r="B846" s="382" t="s">
        <v>41</v>
      </c>
      <c r="C846" s="383" t="s">
        <v>2144</v>
      </c>
      <c r="D846" s="100">
        <f t="shared" si="58"/>
        <v>1250</v>
      </c>
      <c r="E846" s="427" t="s">
        <v>171</v>
      </c>
      <c r="F846" s="693" t="s">
        <v>263</v>
      </c>
      <c r="G846" s="924"/>
      <c r="H846" s="922"/>
      <c r="I846" s="923" t="str">
        <f>IF(F871="ada","DURIAN MONTONG","")</f>
        <v/>
      </c>
      <c r="J846" s="198" t="str">
        <f>IF(F846="","Belum Terisi",IF(OR(F846="ada",F846="Tidak Ada"),"","CEK"))</f>
        <v/>
      </c>
      <c r="K846" s="31" t="str">
        <f>IF(J846="CEK","Inputan Tidak Sesuai","")</f>
        <v/>
      </c>
      <c r="L846" s="43"/>
      <c r="M846" s="21"/>
      <c r="N846" s="21"/>
      <c r="O846" s="21"/>
      <c r="P846" s="21"/>
      <c r="Q846" s="21"/>
      <c r="R846" s="21"/>
      <c r="S846" s="21"/>
      <c r="T846" s="21"/>
      <c r="U846" s="21"/>
      <c r="V846" s="21"/>
    </row>
    <row r="847" spans="1:22" s="2" customFormat="1" ht="30" customHeight="1" x14ac:dyDescent="0.25">
      <c r="A847" s="662"/>
      <c r="B847" s="382" t="s">
        <v>139</v>
      </c>
      <c r="C847" s="383" t="s">
        <v>2219</v>
      </c>
      <c r="D847" s="100">
        <f t="shared" si="58"/>
        <v>1251</v>
      </c>
      <c r="E847" s="427" t="s">
        <v>188</v>
      </c>
      <c r="F847" s="829">
        <v>0</v>
      </c>
      <c r="G847" s="924"/>
      <c r="H847" s="960" t="s">
        <v>557</v>
      </c>
      <c r="I847" s="923" t="str">
        <f>IF(F873="ada","DURIAN PETRUK","")</f>
        <v/>
      </c>
      <c r="J847" s="198" t="str">
        <f>IF(F847="","Belum Terisi",IF(AND(F846="ada",F847=0),"CEK",IF(AND(F846="Tidak Ada",F847&lt;&gt;0),"CEK","")))</f>
        <v/>
      </c>
      <c r="K847" s="31" t="str">
        <f>IF(J847="CEK",F846&amp;" Produk Unggulan Mangga Apel","")</f>
        <v/>
      </c>
      <c r="L847" s="31"/>
      <c r="M847" s="21"/>
      <c r="N847" s="21"/>
      <c r="O847" s="21"/>
      <c r="P847" s="21"/>
      <c r="Q847" s="21"/>
      <c r="R847" s="21"/>
      <c r="S847" s="21"/>
      <c r="T847" s="21"/>
      <c r="U847" s="21"/>
      <c r="V847" s="21"/>
    </row>
    <row r="848" spans="1:22" s="2" customFormat="1" ht="30" customHeight="1" x14ac:dyDescent="0.25">
      <c r="A848" s="661">
        <f>A846+1</f>
        <v>229</v>
      </c>
      <c r="B848" s="382" t="s">
        <v>41</v>
      </c>
      <c r="C848" s="383" t="s">
        <v>2145</v>
      </c>
      <c r="D848" s="100">
        <f t="shared" si="58"/>
        <v>1252</v>
      </c>
      <c r="E848" s="427" t="s">
        <v>171</v>
      </c>
      <c r="F848" s="693" t="s">
        <v>263</v>
      </c>
      <c r="G848" s="924"/>
      <c r="H848" s="922"/>
      <c r="I848" s="923" t="str">
        <f>IF(F875="ada","DURIAN BAWOR","")</f>
        <v/>
      </c>
      <c r="J848" s="198" t="str">
        <f>IF(F848="","Belum Terisi",IF(OR(F848="ada",F848="Tidak Ada"),"","CEK"))</f>
        <v/>
      </c>
      <c r="K848" s="31" t="str">
        <f>IF(J848="CEK","Inputan Tidak Sesuai","")</f>
        <v/>
      </c>
      <c r="L848" s="43"/>
      <c r="M848" s="21"/>
      <c r="N848" s="21"/>
      <c r="O848" s="21"/>
      <c r="P848" s="21"/>
      <c r="Q848" s="21"/>
      <c r="R848" s="21"/>
      <c r="S848" s="21"/>
      <c r="T848" s="21"/>
      <c r="U848" s="21"/>
      <c r="V848" s="21"/>
    </row>
    <row r="849" spans="1:22" s="2" customFormat="1" ht="30" customHeight="1" x14ac:dyDescent="0.25">
      <c r="A849" s="663"/>
      <c r="B849" s="382" t="s">
        <v>139</v>
      </c>
      <c r="C849" s="383" t="s">
        <v>2212</v>
      </c>
      <c r="D849" s="100">
        <f t="shared" si="58"/>
        <v>1253</v>
      </c>
      <c r="E849" s="427" t="s">
        <v>174</v>
      </c>
      <c r="F849" s="694" t="s">
        <v>240</v>
      </c>
      <c r="G849" s="924"/>
      <c r="H849" s="922"/>
      <c r="I849" s="923" t="str">
        <f>IF(F877="ada","DURIAN MUSANGKING","")</f>
        <v/>
      </c>
      <c r="J849" s="198" t="str">
        <f>IF(F849="","Belum Terisi",IF(AND(F848="Tidak Ada",F849&lt;&gt;"-"),"CEK",IF(AND(F848="Ada",F849="-"),"CEK","")))</f>
        <v/>
      </c>
      <c r="K849" s="31" t="str">
        <f>IF(J849="CEK",F848&amp;" Terdapat Produk Unggulan Buah Mangga Lokal","")</f>
        <v/>
      </c>
      <c r="L849" s="43"/>
      <c r="M849" s="21"/>
      <c r="N849" s="21"/>
      <c r="O849" s="21"/>
      <c r="P849" s="21"/>
      <c r="Q849" s="21"/>
      <c r="R849" s="21"/>
      <c r="S849" s="21"/>
      <c r="T849" s="21"/>
      <c r="U849" s="21"/>
      <c r="V849" s="21"/>
    </row>
    <row r="850" spans="1:22" s="2" customFormat="1" ht="30" customHeight="1" x14ac:dyDescent="0.25">
      <c r="A850" s="664"/>
      <c r="B850" s="382" t="s">
        <v>251</v>
      </c>
      <c r="C850" s="383" t="s">
        <v>2219</v>
      </c>
      <c r="D850" s="100">
        <f t="shared" si="58"/>
        <v>1254</v>
      </c>
      <c r="E850" s="427" t="s">
        <v>188</v>
      </c>
      <c r="F850" s="829">
        <v>0</v>
      </c>
      <c r="G850" s="924"/>
      <c r="H850" s="960" t="s">
        <v>557</v>
      </c>
      <c r="I850" s="923" t="str">
        <f>IF(F879="ada","DURIAN BOKOR","")</f>
        <v/>
      </c>
      <c r="J850" s="198" t="str">
        <f>IF(F850="","Belum Terisi",IF(AND(F848="ada",F850=0),"CEK",IF(AND(F848="Tidak Ada",F850&lt;&gt;0),"CEK","")))</f>
        <v/>
      </c>
      <c r="K850" s="31" t="str">
        <f>IF(J850="CEK",F848&amp;" Produk Unggulan Mangga Lokal","")</f>
        <v/>
      </c>
      <c r="L850" s="31"/>
      <c r="M850" s="21"/>
      <c r="N850" s="21"/>
      <c r="O850" s="21"/>
      <c r="P850" s="21"/>
      <c r="Q850" s="21"/>
      <c r="R850" s="21"/>
      <c r="S850" s="21"/>
      <c r="T850" s="21"/>
      <c r="U850" s="21"/>
      <c r="V850" s="21"/>
    </row>
    <row r="851" spans="1:22" s="2" customFormat="1" ht="30" customHeight="1" x14ac:dyDescent="0.25">
      <c r="A851" s="661">
        <f>A848+1</f>
        <v>230</v>
      </c>
      <c r="B851" s="382" t="s">
        <v>41</v>
      </c>
      <c r="C851" s="383" t="s">
        <v>2146</v>
      </c>
      <c r="D851" s="100">
        <f t="shared" si="58"/>
        <v>1255</v>
      </c>
      <c r="E851" s="427" t="s">
        <v>171</v>
      </c>
      <c r="F851" s="693" t="s">
        <v>263</v>
      </c>
      <c r="G851" s="924"/>
      <c r="H851" s="922"/>
      <c r="I851" s="923" t="str">
        <f>IF(F881="ada","SALAK","")</f>
        <v/>
      </c>
      <c r="J851" s="198" t="str">
        <f>IF(F851="","Belum Terisi",IF(OR(F851="ada",F851="Tidak Ada"),"","CEK"))</f>
        <v/>
      </c>
      <c r="K851" s="31" t="str">
        <f>IF(J851="CEK","Inputan Tidak Sesuai","")</f>
        <v/>
      </c>
      <c r="L851" s="43"/>
      <c r="M851" s="21"/>
      <c r="N851" s="21"/>
      <c r="O851" s="21"/>
      <c r="P851" s="21"/>
      <c r="Q851" s="21"/>
      <c r="R851" s="21"/>
      <c r="S851" s="21"/>
      <c r="T851" s="21"/>
      <c r="U851" s="21"/>
      <c r="V851" s="21"/>
    </row>
    <row r="852" spans="1:22" s="2" customFormat="1" ht="30" customHeight="1" x14ac:dyDescent="0.25">
      <c r="A852" s="662"/>
      <c r="B852" s="382" t="s">
        <v>139</v>
      </c>
      <c r="C852" s="383" t="s">
        <v>2219</v>
      </c>
      <c r="D852" s="100">
        <f t="shared" si="58"/>
        <v>1256</v>
      </c>
      <c r="E852" s="427" t="s">
        <v>188</v>
      </c>
      <c r="F852" s="829">
        <v>0</v>
      </c>
      <c r="G852" s="924"/>
      <c r="H852" s="960" t="s">
        <v>557</v>
      </c>
      <c r="I852" s="923" t="str">
        <f>IF(F883="ada","NANGKA","")</f>
        <v/>
      </c>
      <c r="J852" s="198" t="str">
        <f>IF(F852="","Belum Terisi",IF(AND(F851="ada",F852=0),"CEK",IF(AND(F851="Tidak Ada",F852&lt;&gt;0),"CEK","")))</f>
        <v/>
      </c>
      <c r="K852" s="31" t="str">
        <f>IF(J852="CEK",F851&amp;" Produk Unggulan Melon","")</f>
        <v/>
      </c>
      <c r="L852" s="43"/>
      <c r="M852" s="21"/>
      <c r="N852" s="21"/>
      <c r="O852" s="21"/>
      <c r="P852" s="21"/>
      <c r="Q852" s="21"/>
      <c r="R852" s="21"/>
      <c r="S852" s="21"/>
      <c r="T852" s="21"/>
      <c r="U852" s="21"/>
      <c r="V852" s="21"/>
    </row>
    <row r="853" spans="1:22" s="2" customFormat="1" ht="30" customHeight="1" x14ac:dyDescent="0.25">
      <c r="A853" s="661">
        <f>A851+1</f>
        <v>231</v>
      </c>
      <c r="B853" s="382" t="s">
        <v>41</v>
      </c>
      <c r="C853" s="383" t="s">
        <v>2147</v>
      </c>
      <c r="D853" s="100">
        <f t="shared" si="58"/>
        <v>1257</v>
      </c>
      <c r="E853" s="427" t="s">
        <v>171</v>
      </c>
      <c r="F853" s="693" t="s">
        <v>263</v>
      </c>
      <c r="G853" s="924"/>
      <c r="H853" s="922"/>
      <c r="I853" s="923" t="str">
        <f>IF(F885="ada","NAGA","")</f>
        <v/>
      </c>
      <c r="J853" s="198" t="str">
        <f>IF(F853="","Belum Terisi",IF(OR(F853="ada",F853="Tidak Ada"),"","CEK"))</f>
        <v/>
      </c>
      <c r="K853" s="31" t="str">
        <f>IF(J853="CEK","Inputan Tidak Sesuai","")</f>
        <v/>
      </c>
      <c r="L853" s="31"/>
      <c r="M853" s="21"/>
      <c r="N853" s="21"/>
      <c r="O853" s="21"/>
      <c r="P853" s="21"/>
      <c r="Q853" s="21"/>
      <c r="R853" s="21"/>
      <c r="S853" s="21"/>
      <c r="T853" s="21"/>
      <c r="U853" s="21"/>
      <c r="V853" s="21"/>
    </row>
    <row r="854" spans="1:22" s="2" customFormat="1" ht="30" customHeight="1" x14ac:dyDescent="0.25">
      <c r="A854" s="662"/>
      <c r="B854" s="382" t="s">
        <v>139</v>
      </c>
      <c r="C854" s="383" t="s">
        <v>2219</v>
      </c>
      <c r="D854" s="100">
        <f t="shared" si="58"/>
        <v>1258</v>
      </c>
      <c r="E854" s="427" t="s">
        <v>188</v>
      </c>
      <c r="F854" s="829">
        <v>0</v>
      </c>
      <c r="G854" s="924"/>
      <c r="H854" s="960" t="s">
        <v>557</v>
      </c>
      <c r="I854" s="923" t="str">
        <f>IF(F887="ada",F888,"")</f>
        <v>Duku</v>
      </c>
      <c r="J854" s="198" t="str">
        <f>IF(F854="","Belum Terisi",IF(AND(F853="ada",F854=0),"CEK",IF(AND(F853="Tidak Ada",F854&lt;&gt;0),"CEK","")))</f>
        <v/>
      </c>
      <c r="K854" s="31" t="str">
        <f>IF(J854="CEK",F853&amp;" Produk Unggulan Stroberi","")</f>
        <v/>
      </c>
      <c r="L854" s="43"/>
      <c r="M854" s="21"/>
      <c r="N854" s="21"/>
      <c r="O854" s="21"/>
      <c r="P854" s="21"/>
      <c r="Q854" s="21"/>
      <c r="R854" s="21"/>
      <c r="S854" s="21"/>
      <c r="T854" s="21"/>
      <c r="U854" s="21"/>
      <c r="V854" s="21"/>
    </row>
    <row r="855" spans="1:22" s="2" customFormat="1" ht="30" customHeight="1" x14ac:dyDescent="0.25">
      <c r="A855" s="661">
        <f>A853+1</f>
        <v>232</v>
      </c>
      <c r="B855" s="382" t="s">
        <v>41</v>
      </c>
      <c r="C855" s="383" t="s">
        <v>2148</v>
      </c>
      <c r="D855" s="100">
        <f t="shared" si="58"/>
        <v>1259</v>
      </c>
      <c r="E855" s="427" t="s">
        <v>171</v>
      </c>
      <c r="F855" s="693" t="s">
        <v>263</v>
      </c>
      <c r="G855" s="924"/>
      <c r="H855" s="922"/>
      <c r="I855" s="923"/>
      <c r="J855" s="198" t="str">
        <f>IF(F855="","Belum Terisi",IF(OR(F855="ada",F855="Tidak Ada"),"","CEK"))</f>
        <v/>
      </c>
      <c r="K855" s="31" t="str">
        <f>IF(J855="CEK","Inputan Tidak Sesuai","")</f>
        <v/>
      </c>
      <c r="L855" s="43"/>
      <c r="M855" s="21"/>
      <c r="N855" s="21"/>
      <c r="O855" s="21"/>
      <c r="P855" s="21"/>
      <c r="Q855" s="21"/>
      <c r="R855" s="21"/>
      <c r="S855" s="21"/>
      <c r="T855" s="21"/>
      <c r="U855" s="21"/>
      <c r="V855" s="21"/>
    </row>
    <row r="856" spans="1:22" s="2" customFormat="1" ht="30" customHeight="1" x14ac:dyDescent="0.25">
      <c r="A856" s="662"/>
      <c r="B856" s="382" t="s">
        <v>139</v>
      </c>
      <c r="C856" s="383" t="s">
        <v>2219</v>
      </c>
      <c r="D856" s="100">
        <f t="shared" si="58"/>
        <v>1260</v>
      </c>
      <c r="E856" s="427" t="s">
        <v>188</v>
      </c>
      <c r="F856" s="829">
        <v>0</v>
      </c>
      <c r="G856" s="924"/>
      <c r="H856" s="960" t="s">
        <v>557</v>
      </c>
      <c r="I856" s="923"/>
      <c r="J856" s="198" t="str">
        <f>IF(F856="","Belum Terisi",IF(AND(F855="ada",F856=0),"CEK",IF(AND(F855="Tidak Ada",F856&lt;&gt;0),"CEK","")))</f>
        <v/>
      </c>
      <c r="K856" s="31" t="str">
        <f>IF(J856="CEK",F855&amp;" Produk Unggulan Rambutan","")</f>
        <v/>
      </c>
      <c r="L856" s="43"/>
      <c r="M856" s="21"/>
      <c r="N856" s="21"/>
      <c r="O856" s="21"/>
      <c r="P856" s="21"/>
      <c r="Q856" s="21"/>
      <c r="R856" s="21"/>
      <c r="S856" s="21"/>
      <c r="T856" s="21"/>
      <c r="U856" s="21"/>
      <c r="V856" s="21"/>
    </row>
    <row r="857" spans="1:22" s="2" customFormat="1" ht="30" customHeight="1" x14ac:dyDescent="0.25">
      <c r="A857" s="661">
        <f>A855+1</f>
        <v>233</v>
      </c>
      <c r="B857" s="382" t="s">
        <v>41</v>
      </c>
      <c r="C857" s="383" t="s">
        <v>2149</v>
      </c>
      <c r="D857" s="100">
        <f t="shared" si="58"/>
        <v>1261</v>
      </c>
      <c r="E857" s="427" t="s">
        <v>171</v>
      </c>
      <c r="F857" s="693" t="s">
        <v>263</v>
      </c>
      <c r="G857" s="924"/>
      <c r="H857" s="922"/>
      <c r="I857" s="923"/>
      <c r="J857" s="198" t="str">
        <f>IF(F857="","Belum Terisi",IF(OR(F857="ada",F857="Tidak Ada"),"","CEK"))</f>
        <v/>
      </c>
      <c r="K857" s="31" t="str">
        <f>IF(J857="CEK","Inputan Tidak Sesuai","")</f>
        <v/>
      </c>
      <c r="L857" s="43"/>
      <c r="M857" s="21"/>
      <c r="N857" s="21"/>
      <c r="O857" s="21"/>
      <c r="P857" s="21"/>
      <c r="Q857" s="21"/>
      <c r="R857" s="21"/>
      <c r="S857" s="21"/>
      <c r="T857" s="21"/>
      <c r="U857" s="21"/>
      <c r="V857" s="21"/>
    </row>
    <row r="858" spans="1:22" s="2" customFormat="1" ht="30" customHeight="1" x14ac:dyDescent="0.25">
      <c r="A858" s="662"/>
      <c r="B858" s="382" t="s">
        <v>139</v>
      </c>
      <c r="C858" s="383" t="s">
        <v>2219</v>
      </c>
      <c r="D858" s="100">
        <f t="shared" si="58"/>
        <v>1262</v>
      </c>
      <c r="E858" s="427" t="s">
        <v>188</v>
      </c>
      <c r="F858" s="829">
        <v>0</v>
      </c>
      <c r="G858" s="924"/>
      <c r="H858" s="960" t="s">
        <v>557</v>
      </c>
      <c r="I858" s="923"/>
      <c r="J858" s="198" t="str">
        <f>IF(F858="","Belum Terisi",IF(AND(F857="ada",F858=0),"CEK",IF(AND(F857="Tidak Ada",F858&lt;&gt;0),"CEK","")))</f>
        <v/>
      </c>
      <c r="K858" s="31" t="str">
        <f>IF(J858="CEK",F857&amp;" Produk Unggulan Pepaya","")</f>
        <v/>
      </c>
      <c r="L858" s="31"/>
      <c r="M858" s="21"/>
      <c r="N858" s="21"/>
      <c r="O858" s="21"/>
      <c r="P858" s="21"/>
      <c r="Q858" s="21"/>
      <c r="R858" s="21"/>
      <c r="S858" s="21"/>
      <c r="T858" s="21"/>
      <c r="U858" s="21"/>
      <c r="V858" s="21"/>
    </row>
    <row r="859" spans="1:22" s="2" customFormat="1" ht="30" customHeight="1" x14ac:dyDescent="0.25">
      <c r="A859" s="661">
        <f>A857+1</f>
        <v>234</v>
      </c>
      <c r="B859" s="382" t="s">
        <v>41</v>
      </c>
      <c r="C859" s="383" t="s">
        <v>2150</v>
      </c>
      <c r="D859" s="100">
        <f t="shared" si="58"/>
        <v>1263</v>
      </c>
      <c r="E859" s="427" t="s">
        <v>171</v>
      </c>
      <c r="F859" s="693" t="s">
        <v>263</v>
      </c>
      <c r="G859" s="924"/>
      <c r="H859" s="922"/>
      <c r="I859" s="923"/>
      <c r="J859" s="198" t="str">
        <f>IF(F859="","Belum Terisi",IF(OR(F859="ada",F859="Tidak Ada"),"","CEK"))</f>
        <v/>
      </c>
      <c r="K859" s="31" t="str">
        <f>IF(J859="CEK","Inputan Tidak Sesuai","")</f>
        <v/>
      </c>
      <c r="L859" s="43"/>
      <c r="M859" s="21"/>
      <c r="N859" s="21"/>
      <c r="O859" s="21"/>
      <c r="P859" s="21"/>
      <c r="Q859" s="21"/>
      <c r="R859" s="21"/>
      <c r="S859" s="21"/>
      <c r="T859" s="21"/>
      <c r="U859" s="21"/>
      <c r="V859" s="21"/>
    </row>
    <row r="860" spans="1:22" s="2" customFormat="1" ht="30" customHeight="1" x14ac:dyDescent="0.25">
      <c r="A860" s="662"/>
      <c r="B860" s="382" t="s">
        <v>139</v>
      </c>
      <c r="C860" s="383" t="s">
        <v>2219</v>
      </c>
      <c r="D860" s="100">
        <f t="shared" si="58"/>
        <v>1264</v>
      </c>
      <c r="E860" s="427" t="s">
        <v>188</v>
      </c>
      <c r="F860" s="829">
        <v>0</v>
      </c>
      <c r="G860" s="924"/>
      <c r="H860" s="960" t="s">
        <v>557</v>
      </c>
      <c r="I860" s="923"/>
      <c r="J860" s="198" t="str">
        <f>IF(F860="","Belum Terisi",IF(AND(F859="ada",F860=0),"CEK",IF(AND(F859="Tidak Ada",F860&lt;&gt;0),"CEK","")))</f>
        <v/>
      </c>
      <c r="K860" s="31" t="str">
        <f>IF(J860="CEK",F859&amp;" Produk Unggulan Jambu","")</f>
        <v/>
      </c>
      <c r="L860" s="43"/>
      <c r="M860" s="21"/>
      <c r="N860" s="21"/>
      <c r="O860" s="21"/>
      <c r="P860" s="21"/>
      <c r="Q860" s="21"/>
      <c r="R860" s="21"/>
      <c r="S860" s="21"/>
      <c r="T860" s="21"/>
      <c r="U860" s="21"/>
      <c r="V860" s="21"/>
    </row>
    <row r="861" spans="1:22" s="2" customFormat="1" ht="30" customHeight="1" x14ac:dyDescent="0.25">
      <c r="A861" s="661">
        <f>A859+1</f>
        <v>235</v>
      </c>
      <c r="B861" s="382" t="s">
        <v>41</v>
      </c>
      <c r="C861" s="383" t="s">
        <v>2151</v>
      </c>
      <c r="D861" s="100">
        <f t="shared" si="58"/>
        <v>1265</v>
      </c>
      <c r="E861" s="427" t="s">
        <v>171</v>
      </c>
      <c r="F861" s="693" t="s">
        <v>263</v>
      </c>
      <c r="G861" s="924"/>
      <c r="H861" s="922"/>
      <c r="I861" s="923"/>
      <c r="J861" s="198" t="str">
        <f>IF(F861="","Belum Terisi",IF(OR(F861="ada",F861="Tidak Ada"),"","CEK"))</f>
        <v/>
      </c>
      <c r="K861" s="31" t="str">
        <f>IF(J861="CEK","Inputan Tidak Sesuai","")</f>
        <v/>
      </c>
      <c r="L861" s="31"/>
      <c r="M861" s="21"/>
      <c r="N861" s="21"/>
      <c r="O861" s="21"/>
      <c r="P861" s="21"/>
      <c r="Q861" s="21"/>
      <c r="R861" s="21"/>
      <c r="S861" s="21"/>
      <c r="T861" s="21"/>
      <c r="U861" s="21"/>
      <c r="V861" s="21"/>
    </row>
    <row r="862" spans="1:22" s="2" customFormat="1" ht="30" customHeight="1" x14ac:dyDescent="0.25">
      <c r="A862" s="662"/>
      <c r="B862" s="382" t="s">
        <v>139</v>
      </c>
      <c r="C862" s="383" t="s">
        <v>2219</v>
      </c>
      <c r="D862" s="100">
        <f t="shared" si="58"/>
        <v>1266</v>
      </c>
      <c r="E862" s="427" t="s">
        <v>188</v>
      </c>
      <c r="F862" s="829">
        <v>0</v>
      </c>
      <c r="G862" s="924"/>
      <c r="H862" s="960" t="s">
        <v>557</v>
      </c>
      <c r="I862" s="923"/>
      <c r="J862" s="198" t="str">
        <f>IF(F862="","Belum Terisi",IF(AND(F861="ada",F862=0),"CEK",IF(AND(F861="Tidak Ada",F862&lt;&gt;0),"CEK","")))</f>
        <v/>
      </c>
      <c r="K862" s="31" t="str">
        <f>IF(J862="CEK",F861&amp;" Produk Unggulan Pisang","")</f>
        <v/>
      </c>
      <c r="L862" s="43"/>
      <c r="M862" s="21"/>
      <c r="N862" s="21"/>
      <c r="O862" s="21"/>
      <c r="P862" s="21"/>
      <c r="Q862" s="21"/>
      <c r="R862" s="21"/>
      <c r="S862" s="21"/>
      <c r="T862" s="21"/>
      <c r="U862" s="21"/>
      <c r="V862" s="21"/>
    </row>
    <row r="863" spans="1:22" s="2" customFormat="1" ht="30" customHeight="1" x14ac:dyDescent="0.25">
      <c r="A863" s="661">
        <f>A861+1</f>
        <v>236</v>
      </c>
      <c r="B863" s="382" t="s">
        <v>41</v>
      </c>
      <c r="C863" s="383" t="s">
        <v>2152</v>
      </c>
      <c r="D863" s="100">
        <f t="shared" si="58"/>
        <v>1267</v>
      </c>
      <c r="E863" s="427" t="s">
        <v>171</v>
      </c>
      <c r="F863" s="693" t="s">
        <v>263</v>
      </c>
      <c r="G863" s="924"/>
      <c r="H863" s="922"/>
      <c r="I863" s="923"/>
      <c r="J863" s="198" t="str">
        <f>IF(F863="","Belum Terisi",IF(OR(F863="ada",F863="Tidak Ada"),"","CEK"))</f>
        <v/>
      </c>
      <c r="K863" s="31" t="str">
        <f>IF(J863="CEK","Inputan Tidak Sesuai","")</f>
        <v/>
      </c>
      <c r="L863" s="43"/>
      <c r="M863" s="21"/>
      <c r="N863" s="21"/>
      <c r="O863" s="21"/>
      <c r="P863" s="21"/>
      <c r="Q863" s="21"/>
      <c r="R863" s="21"/>
      <c r="S863" s="21"/>
      <c r="T863" s="21"/>
      <c r="U863" s="21"/>
      <c r="V863" s="21"/>
    </row>
    <row r="864" spans="1:22" s="2" customFormat="1" ht="30" customHeight="1" x14ac:dyDescent="0.25">
      <c r="A864" s="662"/>
      <c r="B864" s="382" t="s">
        <v>139</v>
      </c>
      <c r="C864" s="383" t="s">
        <v>2219</v>
      </c>
      <c r="D864" s="100">
        <f t="shared" si="58"/>
        <v>1268</v>
      </c>
      <c r="E864" s="427" t="s">
        <v>188</v>
      </c>
      <c r="F864" s="829">
        <v>0</v>
      </c>
      <c r="G864" s="924"/>
      <c r="H864" s="960" t="s">
        <v>557</v>
      </c>
      <c r="I864" s="923"/>
      <c r="J864" s="198" t="str">
        <f>IF(F864="","Belum Terisi",IF(AND(F863="ada",F864=0),"CEK",IF(AND(F863="Tidak Ada",F864&lt;&gt;0),"CEK","")))</f>
        <v/>
      </c>
      <c r="K864" s="31" t="str">
        <f>IF(J864="CEK",F863&amp;" Produk Unggulan Nanas","")</f>
        <v/>
      </c>
      <c r="L864" s="43"/>
      <c r="M864" s="21"/>
      <c r="N864" s="21"/>
      <c r="O864" s="21"/>
      <c r="P864" s="21"/>
      <c r="Q864" s="21"/>
      <c r="R864" s="21"/>
      <c r="S864" s="21"/>
      <c r="T864" s="21"/>
      <c r="U864" s="21"/>
      <c r="V864" s="21"/>
    </row>
    <row r="865" spans="1:22" s="2" customFormat="1" ht="30" customHeight="1" x14ac:dyDescent="0.25">
      <c r="A865" s="661">
        <f>A863+1</f>
        <v>237</v>
      </c>
      <c r="B865" s="382" t="s">
        <v>41</v>
      </c>
      <c r="C865" s="383" t="s">
        <v>2153</v>
      </c>
      <c r="D865" s="100">
        <f t="shared" si="58"/>
        <v>1269</v>
      </c>
      <c r="E865" s="427" t="s">
        <v>171</v>
      </c>
      <c r="F865" s="693" t="s">
        <v>263</v>
      </c>
      <c r="G865" s="924"/>
      <c r="H865" s="922"/>
      <c r="I865" s="923"/>
      <c r="J865" s="198" t="str">
        <f>IF(F865="","Belum Terisi",IF(OR(F865="ada",F865="Tidak Ada"),"","CEK"))</f>
        <v/>
      </c>
      <c r="K865" s="31" t="str">
        <f>IF(J865="CEK","Inputan Tidak Sesuai","")</f>
        <v/>
      </c>
      <c r="L865" s="43"/>
      <c r="M865" s="21"/>
      <c r="N865" s="21"/>
      <c r="O865" s="21"/>
      <c r="P865" s="21"/>
      <c r="Q865" s="21"/>
      <c r="R865" s="21"/>
      <c r="S865" s="21"/>
      <c r="T865" s="21"/>
      <c r="U865" s="21"/>
      <c r="V865" s="21"/>
    </row>
    <row r="866" spans="1:22" s="2" customFormat="1" ht="30" customHeight="1" x14ac:dyDescent="0.25">
      <c r="A866" s="662"/>
      <c r="B866" s="382" t="s">
        <v>139</v>
      </c>
      <c r="C866" s="383" t="s">
        <v>2219</v>
      </c>
      <c r="D866" s="100">
        <f t="shared" si="58"/>
        <v>1270</v>
      </c>
      <c r="E866" s="427" t="s">
        <v>188</v>
      </c>
      <c r="F866" s="829">
        <v>0</v>
      </c>
      <c r="G866" s="924"/>
      <c r="H866" s="960" t="s">
        <v>557</v>
      </c>
      <c r="I866" s="923"/>
      <c r="J866" s="198" t="str">
        <f>IF(F866="","Belum Terisi",IF(AND(F865="ada",F866=0),"CEK",IF(AND(F865="Tidak Ada",F866&lt;&gt;0),"CEK","")))</f>
        <v/>
      </c>
      <c r="K866" s="31" t="str">
        <f>IF(J866="CEK",F865&amp;" Produk Unggulan Apel","")</f>
        <v/>
      </c>
      <c r="L866" s="31"/>
      <c r="M866" s="21"/>
      <c r="N866" s="21"/>
      <c r="O866" s="21"/>
      <c r="P866" s="21"/>
      <c r="Q866" s="21"/>
      <c r="R866" s="21"/>
      <c r="S866" s="21"/>
      <c r="T866" s="21"/>
      <c r="U866" s="21"/>
      <c r="V866" s="21"/>
    </row>
    <row r="867" spans="1:22" s="2" customFormat="1" ht="30" customHeight="1" x14ac:dyDescent="0.25">
      <c r="A867" s="661">
        <f>A865+1</f>
        <v>238</v>
      </c>
      <c r="B867" s="382" t="s">
        <v>41</v>
      </c>
      <c r="C867" s="383" t="s">
        <v>2154</v>
      </c>
      <c r="D867" s="100">
        <f t="shared" si="58"/>
        <v>1271</v>
      </c>
      <c r="E867" s="427" t="s">
        <v>171</v>
      </c>
      <c r="F867" s="693" t="s">
        <v>263</v>
      </c>
      <c r="G867" s="924"/>
      <c r="H867" s="922"/>
      <c r="I867" s="923"/>
      <c r="J867" s="198" t="str">
        <f>IF(F867="","Belum Terisi",IF(OR(F867="ada",F867="Tidak Ada"),"","CEK"))</f>
        <v/>
      </c>
      <c r="K867" s="31" t="str">
        <f>IF(J867="CEK","Inputan Tidak Sesuai","")</f>
        <v/>
      </c>
      <c r="L867" s="43"/>
      <c r="M867" s="21"/>
      <c r="N867" s="21"/>
      <c r="O867" s="21"/>
      <c r="P867" s="21"/>
      <c r="Q867" s="21"/>
      <c r="R867" s="21"/>
      <c r="S867" s="21"/>
      <c r="T867" s="21"/>
      <c r="U867" s="21"/>
      <c r="V867" s="21"/>
    </row>
    <row r="868" spans="1:22" s="2" customFormat="1" ht="30" customHeight="1" x14ac:dyDescent="0.25">
      <c r="A868" s="662"/>
      <c r="B868" s="382" t="s">
        <v>139</v>
      </c>
      <c r="C868" s="383" t="s">
        <v>2219</v>
      </c>
      <c r="D868" s="100">
        <f t="shared" si="58"/>
        <v>1272</v>
      </c>
      <c r="E868" s="427" t="s">
        <v>188</v>
      </c>
      <c r="F868" s="829">
        <v>0</v>
      </c>
      <c r="G868" s="924"/>
      <c r="H868" s="960" t="s">
        <v>557</v>
      </c>
      <c r="I868" s="923"/>
      <c r="J868" s="198" t="str">
        <f>IF(F868="","Belum Terisi",IF(AND(F867="ada",F868=0),"CEK",IF(AND(F867="Tidak Ada",F868&lt;&gt;0),"CEK","")))</f>
        <v/>
      </c>
      <c r="K868" s="31" t="str">
        <f>IF(J868="CEK",F867&amp;" Produk Unggulan Anggur","")</f>
        <v/>
      </c>
      <c r="L868" s="43"/>
      <c r="M868" s="21"/>
      <c r="N868" s="21"/>
      <c r="O868" s="21"/>
      <c r="P868" s="21"/>
      <c r="Q868" s="21"/>
      <c r="R868" s="21"/>
      <c r="S868" s="21"/>
      <c r="T868" s="21"/>
      <c r="U868" s="21"/>
      <c r="V868" s="21"/>
    </row>
    <row r="869" spans="1:22" s="2" customFormat="1" ht="30" customHeight="1" x14ac:dyDescent="0.25">
      <c r="A869" s="661">
        <f>A867+1</f>
        <v>239</v>
      </c>
      <c r="B869" s="382" t="s">
        <v>41</v>
      </c>
      <c r="C869" s="383" t="s">
        <v>2155</v>
      </c>
      <c r="D869" s="100">
        <f t="shared" si="58"/>
        <v>1273</v>
      </c>
      <c r="E869" s="427" t="s">
        <v>171</v>
      </c>
      <c r="F869" s="693" t="s">
        <v>263</v>
      </c>
      <c r="G869" s="924"/>
      <c r="H869" s="922"/>
      <c r="I869" s="923"/>
      <c r="J869" s="198" t="str">
        <f>IF(F869="","Belum Terisi",IF(OR(F869="ada",F869="Tidak Ada"),"","CEK"))</f>
        <v/>
      </c>
      <c r="K869" s="31" t="str">
        <f>IF(J869="CEK","Inputan Tidak Sesuai","")</f>
        <v/>
      </c>
      <c r="L869" s="31"/>
      <c r="M869" s="21"/>
      <c r="N869" s="21"/>
      <c r="O869" s="21"/>
      <c r="P869" s="21"/>
      <c r="Q869" s="21"/>
      <c r="R869" s="21"/>
      <c r="S869" s="21"/>
      <c r="T869" s="21"/>
      <c r="U869" s="21"/>
      <c r="V869" s="21"/>
    </row>
    <row r="870" spans="1:22" s="2" customFormat="1" ht="30" customHeight="1" x14ac:dyDescent="0.25">
      <c r="A870" s="662"/>
      <c r="B870" s="382" t="s">
        <v>139</v>
      </c>
      <c r="C870" s="383" t="s">
        <v>2219</v>
      </c>
      <c r="D870" s="100">
        <f t="shared" si="58"/>
        <v>1274</v>
      </c>
      <c r="E870" s="427" t="s">
        <v>188</v>
      </c>
      <c r="F870" s="829">
        <v>0</v>
      </c>
      <c r="G870" s="924"/>
      <c r="H870" s="960" t="s">
        <v>557</v>
      </c>
      <c r="I870" s="923"/>
      <c r="J870" s="198" t="str">
        <f>IF(F870="","Belum Terisi",IF(AND(F869="ada",F870=0),"CEK",IF(AND(F869="Tidak Ada",F870&lt;&gt;0),"CEK","")))</f>
        <v/>
      </c>
      <c r="K870" s="31" t="str">
        <f>IF(J870="CEK",F869&amp;" Produk Unggulan Alpukat","")</f>
        <v/>
      </c>
      <c r="L870" s="43"/>
      <c r="M870" s="21"/>
      <c r="N870" s="21"/>
      <c r="O870" s="21"/>
      <c r="P870" s="21"/>
      <c r="Q870" s="21"/>
      <c r="R870" s="21"/>
      <c r="S870" s="21"/>
      <c r="T870" s="21"/>
      <c r="U870" s="21"/>
      <c r="V870" s="21"/>
    </row>
    <row r="871" spans="1:22" s="2" customFormat="1" ht="30" customHeight="1" x14ac:dyDescent="0.25">
      <c r="A871" s="661">
        <f>A869+1</f>
        <v>240</v>
      </c>
      <c r="B871" s="382" t="s">
        <v>41</v>
      </c>
      <c r="C871" s="383" t="s">
        <v>2156</v>
      </c>
      <c r="D871" s="100">
        <f t="shared" si="58"/>
        <v>1275</v>
      </c>
      <c r="E871" s="427" t="s">
        <v>171</v>
      </c>
      <c r="F871" s="693" t="s">
        <v>263</v>
      </c>
      <c r="G871" s="924"/>
      <c r="H871" s="922"/>
      <c r="I871" s="923"/>
      <c r="J871" s="198" t="str">
        <f>IF(F871="","Belum Terisi",IF(OR(F871="ada",F871="Tidak Ada"),"","CEK"))</f>
        <v/>
      </c>
      <c r="K871" s="31" t="str">
        <f>IF(J871="CEK","Inputan Tidak Sesuai","")</f>
        <v/>
      </c>
      <c r="L871" s="43"/>
      <c r="M871" s="21"/>
      <c r="N871" s="21"/>
      <c r="O871" s="21"/>
      <c r="P871" s="21"/>
      <c r="Q871" s="21"/>
      <c r="R871" s="21"/>
      <c r="S871" s="21"/>
      <c r="T871" s="21"/>
      <c r="U871" s="21"/>
      <c r="V871" s="21"/>
    </row>
    <row r="872" spans="1:22" s="2" customFormat="1" ht="30" customHeight="1" x14ac:dyDescent="0.25">
      <c r="A872" s="662"/>
      <c r="B872" s="382" t="s">
        <v>139</v>
      </c>
      <c r="C872" s="383" t="s">
        <v>2219</v>
      </c>
      <c r="D872" s="100">
        <f t="shared" si="58"/>
        <v>1276</v>
      </c>
      <c r="E872" s="427" t="s">
        <v>188</v>
      </c>
      <c r="F872" s="829">
        <v>0</v>
      </c>
      <c r="G872" s="924"/>
      <c r="H872" s="960" t="s">
        <v>557</v>
      </c>
      <c r="I872" s="923"/>
      <c r="J872" s="198" t="str">
        <f>IF(F872="","Belum Terisi",IF(AND(F871="ada",F872=0),"CEK",IF(AND(F871="Tidak Ada",F872&lt;&gt;0),"CEK","")))</f>
        <v/>
      </c>
      <c r="K872" s="31" t="str">
        <f>IF(J872="CEK",F871&amp;" Produk Unggulan Durian Montong","")</f>
        <v/>
      </c>
      <c r="L872" s="43"/>
      <c r="M872" s="21"/>
      <c r="N872" s="21"/>
      <c r="O872" s="21"/>
      <c r="P872" s="21"/>
      <c r="Q872" s="21"/>
      <c r="R872" s="21"/>
      <c r="S872" s="21"/>
      <c r="T872" s="21"/>
      <c r="U872" s="21"/>
      <c r="V872" s="21"/>
    </row>
    <row r="873" spans="1:22" s="2" customFormat="1" ht="30" customHeight="1" x14ac:dyDescent="0.25">
      <c r="A873" s="661">
        <f>A871+1</f>
        <v>241</v>
      </c>
      <c r="B873" s="382" t="s">
        <v>41</v>
      </c>
      <c r="C873" s="383" t="s">
        <v>2157</v>
      </c>
      <c r="D873" s="100">
        <f t="shared" si="58"/>
        <v>1277</v>
      </c>
      <c r="E873" s="427" t="s">
        <v>171</v>
      </c>
      <c r="F873" s="693" t="s">
        <v>263</v>
      </c>
      <c r="G873" s="924"/>
      <c r="H873" s="922"/>
      <c r="I873" s="923"/>
      <c r="J873" s="198" t="str">
        <f>IF(F873="","Belum Terisi",IF(OR(F873="ada",F873="Tidak Ada"),"","CEK"))</f>
        <v/>
      </c>
      <c r="K873" s="31" t="str">
        <f>IF(J873="CEK","Inputan Tidak Sesuai","")</f>
        <v/>
      </c>
      <c r="L873" s="43"/>
      <c r="M873" s="21"/>
      <c r="N873" s="21"/>
      <c r="O873" s="21"/>
      <c r="P873" s="21"/>
      <c r="Q873" s="21"/>
      <c r="R873" s="21"/>
      <c r="S873" s="21"/>
      <c r="T873" s="21"/>
      <c r="U873" s="21"/>
      <c r="V873" s="21"/>
    </row>
    <row r="874" spans="1:22" s="2" customFormat="1" ht="30" customHeight="1" x14ac:dyDescent="0.25">
      <c r="A874" s="662"/>
      <c r="B874" s="382" t="s">
        <v>139</v>
      </c>
      <c r="C874" s="383" t="s">
        <v>2219</v>
      </c>
      <c r="D874" s="100">
        <f t="shared" si="58"/>
        <v>1278</v>
      </c>
      <c r="E874" s="427" t="s">
        <v>188</v>
      </c>
      <c r="F874" s="829">
        <v>0</v>
      </c>
      <c r="G874" s="924"/>
      <c r="H874" s="960" t="s">
        <v>557</v>
      </c>
      <c r="I874" s="923"/>
      <c r="J874" s="198" t="str">
        <f>IF(F874="","Belum Terisi",IF(AND(F873="ada",F874=0),"CEK",IF(AND(F873="Tidak Ada",F874&lt;&gt;0),"CEK","")))</f>
        <v/>
      </c>
      <c r="K874" s="31" t="str">
        <f>IF(J874="CEK",F873&amp;" Produk Unggulan Durian Petruk","")</f>
        <v/>
      </c>
      <c r="L874" s="31"/>
      <c r="M874" s="21"/>
      <c r="N874" s="21"/>
      <c r="O874" s="21"/>
      <c r="P874" s="21"/>
      <c r="Q874" s="21"/>
      <c r="R874" s="21"/>
      <c r="S874" s="21"/>
      <c r="T874" s="21"/>
      <c r="U874" s="21"/>
      <c r="V874" s="21"/>
    </row>
    <row r="875" spans="1:22" s="2" customFormat="1" ht="30" customHeight="1" x14ac:dyDescent="0.25">
      <c r="A875" s="661">
        <f>A873+1</f>
        <v>242</v>
      </c>
      <c r="B875" s="382" t="s">
        <v>41</v>
      </c>
      <c r="C875" s="383" t="s">
        <v>2158</v>
      </c>
      <c r="D875" s="100">
        <f t="shared" si="58"/>
        <v>1279</v>
      </c>
      <c r="E875" s="427" t="s">
        <v>171</v>
      </c>
      <c r="F875" s="693" t="s">
        <v>263</v>
      </c>
      <c r="G875" s="924"/>
      <c r="H875" s="922"/>
      <c r="I875" s="923"/>
      <c r="J875" s="198" t="str">
        <f>IF(F875="","Belum Terisi",IF(OR(F875="ada",F875="Tidak Ada"),"","CEK"))</f>
        <v/>
      </c>
      <c r="K875" s="31" t="str">
        <f>IF(J875="CEK","Inputan Tidak Sesuai","")</f>
        <v/>
      </c>
      <c r="L875" s="43"/>
      <c r="M875" s="21"/>
      <c r="N875" s="21"/>
      <c r="O875" s="21"/>
      <c r="P875" s="21"/>
      <c r="Q875" s="21"/>
      <c r="R875" s="21"/>
      <c r="S875" s="21"/>
      <c r="T875" s="21"/>
      <c r="U875" s="21"/>
      <c r="V875" s="21"/>
    </row>
    <row r="876" spans="1:22" s="2" customFormat="1" ht="30" customHeight="1" x14ac:dyDescent="0.25">
      <c r="A876" s="662"/>
      <c r="B876" s="382" t="s">
        <v>139</v>
      </c>
      <c r="C876" s="383" t="s">
        <v>2219</v>
      </c>
      <c r="D876" s="100">
        <f t="shared" si="58"/>
        <v>1280</v>
      </c>
      <c r="E876" s="427" t="s">
        <v>188</v>
      </c>
      <c r="F876" s="829">
        <v>0</v>
      </c>
      <c r="G876" s="924"/>
      <c r="H876" s="960" t="s">
        <v>557</v>
      </c>
      <c r="I876" s="923"/>
      <c r="J876" s="198" t="str">
        <f>IF(F876="","Belum Terisi",IF(AND(F875="ada",F876=0),"CEK",IF(AND(F875="Tidak Ada",F876&lt;&gt;0),"CEK","")))</f>
        <v/>
      </c>
      <c r="K876" s="31" t="str">
        <f>IF(J876="CEK",F875&amp;" Produk Unggulan Durian Bawor","")</f>
        <v/>
      </c>
      <c r="L876" s="43"/>
      <c r="M876" s="21"/>
      <c r="N876" s="21"/>
      <c r="O876" s="21"/>
      <c r="P876" s="21"/>
      <c r="Q876" s="21"/>
      <c r="R876" s="21"/>
      <c r="S876" s="21"/>
      <c r="T876" s="21"/>
      <c r="U876" s="21"/>
      <c r="V876" s="21"/>
    </row>
    <row r="877" spans="1:22" s="2" customFormat="1" ht="30" customHeight="1" x14ac:dyDescent="0.25">
      <c r="A877" s="661">
        <f>A875+1</f>
        <v>243</v>
      </c>
      <c r="B877" s="382" t="s">
        <v>41</v>
      </c>
      <c r="C877" s="383" t="s">
        <v>2159</v>
      </c>
      <c r="D877" s="100">
        <f t="shared" si="58"/>
        <v>1281</v>
      </c>
      <c r="E877" s="427" t="s">
        <v>171</v>
      </c>
      <c r="F877" s="693" t="s">
        <v>263</v>
      </c>
      <c r="G877" s="924"/>
      <c r="H877" s="922"/>
      <c r="I877" s="923"/>
      <c r="J877" s="198" t="str">
        <f>IF(F877="","Belum Terisi",IF(OR(F877="ada",F877="Tidak Ada"),"","CEK"))</f>
        <v/>
      </c>
      <c r="K877" s="31" t="str">
        <f>IF(J877="CEK","Inputan Tidak Sesuai","")</f>
        <v/>
      </c>
      <c r="L877" s="31"/>
      <c r="M877" s="21"/>
      <c r="N877" s="21"/>
      <c r="O877" s="21"/>
      <c r="P877" s="21"/>
      <c r="Q877" s="21"/>
      <c r="R877" s="21"/>
      <c r="S877" s="21"/>
      <c r="T877" s="21"/>
      <c r="U877" s="21"/>
      <c r="V877" s="21"/>
    </row>
    <row r="878" spans="1:22" s="2" customFormat="1" ht="30" customHeight="1" x14ac:dyDescent="0.25">
      <c r="A878" s="662"/>
      <c r="B878" s="382" t="s">
        <v>139</v>
      </c>
      <c r="C878" s="383" t="s">
        <v>2219</v>
      </c>
      <c r="D878" s="100">
        <f t="shared" si="58"/>
        <v>1282</v>
      </c>
      <c r="E878" s="427" t="s">
        <v>188</v>
      </c>
      <c r="F878" s="829">
        <v>0</v>
      </c>
      <c r="G878" s="924"/>
      <c r="H878" s="960" t="s">
        <v>557</v>
      </c>
      <c r="I878" s="923"/>
      <c r="J878" s="198" t="str">
        <f>IF(F878="","Belum Terisi",IF(AND(F877="ada",F878=0),"CEK",IF(AND(F877="Tidak Ada",F878&lt;&gt;0),"CEK","")))</f>
        <v/>
      </c>
      <c r="K878" s="31" t="str">
        <f>IF(J878="CEK",F877&amp;" Produk Unggulan Durian Musangking","")</f>
        <v/>
      </c>
      <c r="L878" s="43"/>
      <c r="M878" s="21"/>
      <c r="N878" s="21"/>
      <c r="O878" s="21"/>
      <c r="P878" s="21"/>
      <c r="Q878" s="21"/>
      <c r="R878" s="21"/>
      <c r="S878" s="21"/>
      <c r="T878" s="21"/>
      <c r="U878" s="21"/>
      <c r="V878" s="21"/>
    </row>
    <row r="879" spans="1:22" s="2" customFormat="1" ht="30" customHeight="1" x14ac:dyDescent="0.25">
      <c r="A879" s="661">
        <f>A877+1</f>
        <v>244</v>
      </c>
      <c r="B879" s="382" t="s">
        <v>41</v>
      </c>
      <c r="C879" s="383" t="s">
        <v>2160</v>
      </c>
      <c r="D879" s="100">
        <f t="shared" si="58"/>
        <v>1283</v>
      </c>
      <c r="E879" s="427" t="s">
        <v>171</v>
      </c>
      <c r="F879" s="693" t="s">
        <v>263</v>
      </c>
      <c r="G879" s="924"/>
      <c r="H879" s="922"/>
      <c r="I879" s="923"/>
      <c r="J879" s="198" t="str">
        <f>IF(F879="","Belum Terisi",IF(OR(F879="ada",F879="Tidak Ada"),"","CEK"))</f>
        <v/>
      </c>
      <c r="K879" s="31" t="str">
        <f>IF(J879="CEK","Inputan Tidak Sesuai","")</f>
        <v/>
      </c>
      <c r="L879" s="43"/>
      <c r="M879" s="21"/>
      <c r="N879" s="21"/>
      <c r="O879" s="21"/>
      <c r="P879" s="21"/>
      <c r="Q879" s="21"/>
      <c r="R879" s="21"/>
      <c r="S879" s="21"/>
      <c r="T879" s="21"/>
      <c r="U879" s="21"/>
      <c r="V879" s="21"/>
    </row>
    <row r="880" spans="1:22" s="2" customFormat="1" ht="30" customHeight="1" x14ac:dyDescent="0.25">
      <c r="A880" s="662"/>
      <c r="B880" s="382" t="s">
        <v>139</v>
      </c>
      <c r="C880" s="383" t="s">
        <v>2219</v>
      </c>
      <c r="D880" s="100">
        <f t="shared" si="58"/>
        <v>1284</v>
      </c>
      <c r="E880" s="427" t="s">
        <v>188</v>
      </c>
      <c r="F880" s="829">
        <v>0</v>
      </c>
      <c r="G880" s="924"/>
      <c r="H880" s="960" t="s">
        <v>557</v>
      </c>
      <c r="I880" s="923"/>
      <c r="J880" s="198" t="str">
        <f>IF(F880="","Belum Terisi",IF(AND(F879="ada",F880=0),"CEK",IF(AND(F879="Tidak Ada",F880&lt;&gt;0),"CEK","")))</f>
        <v/>
      </c>
      <c r="K880" s="31" t="str">
        <f>IF(J880="CEK",F879&amp;" Produk Unggulan Bokor","")</f>
        <v/>
      </c>
      <c r="L880" s="43"/>
      <c r="M880" s="21"/>
      <c r="N880" s="21"/>
      <c r="O880" s="21"/>
      <c r="P880" s="21"/>
      <c r="Q880" s="21"/>
      <c r="R880" s="21"/>
      <c r="S880" s="21"/>
      <c r="T880" s="21"/>
      <c r="U880" s="21"/>
      <c r="V880" s="21"/>
    </row>
    <row r="881" spans="1:22" s="2" customFormat="1" ht="30" customHeight="1" x14ac:dyDescent="0.25">
      <c r="A881" s="661">
        <f>A879+1</f>
        <v>245</v>
      </c>
      <c r="B881" s="382" t="s">
        <v>41</v>
      </c>
      <c r="C881" s="383" t="s">
        <v>2161</v>
      </c>
      <c r="D881" s="100">
        <f t="shared" si="58"/>
        <v>1285</v>
      </c>
      <c r="E881" s="427" t="s">
        <v>171</v>
      </c>
      <c r="F881" s="693" t="s">
        <v>263</v>
      </c>
      <c r="G881" s="924"/>
      <c r="H881" s="922"/>
      <c r="I881" s="923"/>
      <c r="J881" s="198" t="str">
        <f>IF(F881="","Belum Terisi",IF(OR(F881="ada",F881="Tidak Ada"),"","CEK"))</f>
        <v/>
      </c>
      <c r="K881" s="31" t="str">
        <f>IF(J881="CEK","Inputan Tidak Sesuai","")</f>
        <v/>
      </c>
      <c r="L881" s="43"/>
      <c r="M881" s="21"/>
      <c r="N881" s="21"/>
      <c r="O881" s="21"/>
      <c r="P881" s="21"/>
      <c r="Q881" s="21"/>
      <c r="R881" s="21"/>
      <c r="S881" s="21"/>
      <c r="T881" s="21"/>
      <c r="U881" s="21"/>
      <c r="V881" s="21"/>
    </row>
    <row r="882" spans="1:22" s="2" customFormat="1" ht="30" customHeight="1" x14ac:dyDescent="0.25">
      <c r="A882" s="662"/>
      <c r="B882" s="382" t="s">
        <v>139</v>
      </c>
      <c r="C882" s="383" t="s">
        <v>2219</v>
      </c>
      <c r="D882" s="100">
        <f t="shared" si="58"/>
        <v>1286</v>
      </c>
      <c r="E882" s="427" t="s">
        <v>188</v>
      </c>
      <c r="F882" s="829">
        <v>0</v>
      </c>
      <c r="G882" s="924"/>
      <c r="H882" s="960" t="s">
        <v>557</v>
      </c>
      <c r="I882" s="923"/>
      <c r="J882" s="198" t="str">
        <f>IF(F882="","Belum Terisi",IF(AND(F881="ada",F882=0),"CEK",IF(AND(F881="Tidak Ada",F882&lt;&gt;0),"CEK","")))</f>
        <v/>
      </c>
      <c r="K882" s="31" t="str">
        <f>IF(J882="CEK",F881&amp;" Produk Unggulan Salak","")</f>
        <v/>
      </c>
      <c r="L882" s="31"/>
      <c r="M882" s="21"/>
      <c r="N882" s="21"/>
      <c r="O882" s="21"/>
      <c r="P882" s="21"/>
      <c r="Q882" s="21"/>
      <c r="R882" s="21"/>
      <c r="S882" s="21"/>
      <c r="T882" s="21"/>
      <c r="U882" s="21"/>
      <c r="V882" s="21"/>
    </row>
    <row r="883" spans="1:22" s="2" customFormat="1" ht="30" customHeight="1" x14ac:dyDescent="0.25">
      <c r="A883" s="661">
        <f>A881+1</f>
        <v>246</v>
      </c>
      <c r="B883" s="382" t="s">
        <v>41</v>
      </c>
      <c r="C883" s="383" t="s">
        <v>2162</v>
      </c>
      <c r="D883" s="100">
        <f t="shared" si="58"/>
        <v>1287</v>
      </c>
      <c r="E883" s="427" t="s">
        <v>171</v>
      </c>
      <c r="F883" s="693" t="s">
        <v>263</v>
      </c>
      <c r="G883" s="924"/>
      <c r="H883" s="922"/>
      <c r="I883" s="923"/>
      <c r="J883" s="198" t="str">
        <f>IF(F883="","Belum Terisi",IF(OR(F883="ada",F883="Tidak Ada"),"","CEK"))</f>
        <v/>
      </c>
      <c r="K883" s="31" t="str">
        <f>IF(J883="CEK","Inputan Tidak Sesuai","")</f>
        <v/>
      </c>
      <c r="L883" s="43"/>
      <c r="M883" s="21"/>
      <c r="N883" s="21"/>
      <c r="O883" s="21"/>
      <c r="P883" s="21"/>
      <c r="Q883" s="21"/>
      <c r="R883" s="21"/>
      <c r="S883" s="21"/>
      <c r="T883" s="21"/>
      <c r="U883" s="21"/>
      <c r="V883" s="21"/>
    </row>
    <row r="884" spans="1:22" s="2" customFormat="1" ht="30" customHeight="1" x14ac:dyDescent="0.25">
      <c r="A884" s="662"/>
      <c r="B884" s="382" t="s">
        <v>139</v>
      </c>
      <c r="C884" s="383" t="s">
        <v>2219</v>
      </c>
      <c r="D884" s="100">
        <f t="shared" si="58"/>
        <v>1288</v>
      </c>
      <c r="E884" s="427" t="s">
        <v>188</v>
      </c>
      <c r="F884" s="829">
        <v>0</v>
      </c>
      <c r="G884" s="924"/>
      <c r="H884" s="960" t="s">
        <v>557</v>
      </c>
      <c r="I884" s="923"/>
      <c r="J884" s="198" t="str">
        <f>IF(F884="","Belum Terisi",IF(AND(F883="ada",F884=0),"CEK",IF(AND(F883="Tidak Ada",F884&lt;&gt;0),"CEK","")))</f>
        <v/>
      </c>
      <c r="K884" s="31" t="str">
        <f>IF(J884="CEK",F883&amp;" Produk Unggulan Nangka","")</f>
        <v/>
      </c>
      <c r="L884" s="43"/>
      <c r="M884" s="21"/>
      <c r="N884" s="21"/>
      <c r="O884" s="21"/>
      <c r="P884" s="21"/>
      <c r="Q884" s="21"/>
      <c r="R884" s="21"/>
      <c r="S884" s="21"/>
      <c r="T884" s="21"/>
      <c r="U884" s="21"/>
      <c r="V884" s="21"/>
    </row>
    <row r="885" spans="1:22" s="2" customFormat="1" ht="30" customHeight="1" x14ac:dyDescent="0.25">
      <c r="A885" s="661">
        <f>A883+1</f>
        <v>247</v>
      </c>
      <c r="B885" s="382" t="s">
        <v>41</v>
      </c>
      <c r="C885" s="383" t="s">
        <v>2163</v>
      </c>
      <c r="D885" s="100">
        <f t="shared" si="58"/>
        <v>1289</v>
      </c>
      <c r="E885" s="427" t="s">
        <v>171</v>
      </c>
      <c r="F885" s="693" t="s">
        <v>263</v>
      </c>
      <c r="G885" s="924"/>
      <c r="H885" s="922"/>
      <c r="I885" s="923"/>
      <c r="J885" s="198" t="str">
        <f>IF(F885="","Belum Terisi",IF(OR(F885="ada",F885="Tidak Ada"),"","CEK"))</f>
        <v/>
      </c>
      <c r="K885" s="31" t="str">
        <f>IF(J885="CEK","Inputan Tidak Sesuai","")</f>
        <v/>
      </c>
      <c r="L885" s="31"/>
      <c r="M885" s="21"/>
      <c r="N885" s="21"/>
      <c r="O885" s="21"/>
      <c r="P885" s="21"/>
      <c r="Q885" s="21"/>
      <c r="R885" s="21"/>
      <c r="S885" s="21"/>
      <c r="T885" s="21"/>
      <c r="U885" s="21"/>
      <c r="V885" s="21"/>
    </row>
    <row r="886" spans="1:22" s="2" customFormat="1" ht="30" customHeight="1" x14ac:dyDescent="0.25">
      <c r="A886" s="662"/>
      <c r="B886" s="382" t="s">
        <v>139</v>
      </c>
      <c r="C886" s="383" t="s">
        <v>2219</v>
      </c>
      <c r="D886" s="100">
        <f t="shared" si="58"/>
        <v>1290</v>
      </c>
      <c r="E886" s="427" t="s">
        <v>188</v>
      </c>
      <c r="F886" s="829">
        <v>0</v>
      </c>
      <c r="G886" s="924"/>
      <c r="H886" s="960" t="s">
        <v>557</v>
      </c>
      <c r="I886" s="923"/>
      <c r="J886" s="198" t="str">
        <f>IF(F886="","Belum Terisi",IF(AND(F885="ada",F886=0),"CEK",IF(AND(F885="Tidak Ada",F886&lt;&gt;0),"CEK","")))</f>
        <v/>
      </c>
      <c r="K886" s="31" t="str">
        <f>IF(J886="CEK",F885&amp;" Produk Unggulan Naga","")</f>
        <v/>
      </c>
      <c r="L886" s="43"/>
      <c r="M886" s="21"/>
      <c r="N886" s="21"/>
      <c r="O886" s="21"/>
      <c r="P886" s="21"/>
      <c r="Q886" s="21"/>
      <c r="R886" s="21"/>
      <c r="S886" s="21"/>
      <c r="T886" s="21"/>
      <c r="U886" s="21"/>
      <c r="V886" s="21"/>
    </row>
    <row r="887" spans="1:22" s="2" customFormat="1" ht="30" customHeight="1" x14ac:dyDescent="0.25">
      <c r="A887" s="661">
        <f>A885+1</f>
        <v>248</v>
      </c>
      <c r="B887" s="382" t="s">
        <v>41</v>
      </c>
      <c r="C887" s="383" t="s">
        <v>2164</v>
      </c>
      <c r="D887" s="100">
        <f t="shared" si="58"/>
        <v>1291</v>
      </c>
      <c r="E887" s="427" t="s">
        <v>171</v>
      </c>
      <c r="F887" s="693" t="s">
        <v>285</v>
      </c>
      <c r="G887" s="924"/>
      <c r="H887" s="922"/>
      <c r="I887" s="923"/>
      <c r="J887" s="198" t="str">
        <f>IF(F887="","Belum Terisi",IF(OR(F887="ada",F887="Tidak Ada"),"","CEK"))</f>
        <v/>
      </c>
      <c r="K887" s="31" t="str">
        <f>IF(J887="CEK","Inputan Tidak Sesuai","")</f>
        <v/>
      </c>
      <c r="L887" s="43"/>
      <c r="M887" s="21"/>
      <c r="N887" s="21"/>
      <c r="O887" s="21"/>
      <c r="P887" s="21"/>
      <c r="Q887" s="21"/>
      <c r="R887" s="21"/>
      <c r="S887" s="21"/>
      <c r="T887" s="21"/>
      <c r="U887" s="21"/>
      <c r="V887" s="21"/>
    </row>
    <row r="888" spans="1:22" s="2" customFormat="1" ht="30" customHeight="1" x14ac:dyDescent="0.25">
      <c r="A888" s="663"/>
      <c r="B888" s="382" t="s">
        <v>139</v>
      </c>
      <c r="C888" s="383" t="s">
        <v>2213</v>
      </c>
      <c r="D888" s="100">
        <f t="shared" ref="D888:D889" si="59">D887+1</f>
        <v>1292</v>
      </c>
      <c r="E888" s="427" t="s">
        <v>174</v>
      </c>
      <c r="F888" s="694" t="s">
        <v>2830</v>
      </c>
      <c r="G888" s="924"/>
      <c r="H888" s="922"/>
      <c r="I888" s="923"/>
      <c r="J888" s="198" t="str">
        <f>IF(F888="","Belum Terisi",IF(AND(F887="Tidak Ada",F888&lt;&gt;"-"),"CEK",IF(AND(F887="Ada",F888="-"),"CEK","")))</f>
        <v/>
      </c>
      <c r="K888" s="31" t="str">
        <f>IF(J888="CEK",F887&amp;" Terdapat Produk Unggulan Lainnya","")</f>
        <v/>
      </c>
      <c r="L888" s="43"/>
      <c r="M888" s="21"/>
      <c r="N888" s="21"/>
      <c r="O888" s="21"/>
      <c r="P888" s="21"/>
      <c r="Q888" s="21"/>
      <c r="R888" s="21"/>
      <c r="S888" s="21"/>
      <c r="T888" s="21"/>
      <c r="U888" s="21"/>
      <c r="V888" s="21"/>
    </row>
    <row r="889" spans="1:22" s="2" customFormat="1" ht="30" customHeight="1" x14ac:dyDescent="0.25">
      <c r="A889" s="664"/>
      <c r="B889" s="382" t="s">
        <v>251</v>
      </c>
      <c r="C889" s="383" t="s">
        <v>2219</v>
      </c>
      <c r="D889" s="100">
        <f t="shared" si="59"/>
        <v>1293</v>
      </c>
      <c r="E889" s="427" t="s">
        <v>188</v>
      </c>
      <c r="F889" s="829">
        <v>4</v>
      </c>
      <c r="G889" s="924"/>
      <c r="H889" s="960" t="s">
        <v>557</v>
      </c>
      <c r="I889" s="923"/>
      <c r="J889" s="198" t="str">
        <f>IF(F889="","Belum Terisi",IF(AND(F887="ada",F889=0),"CEK",IF(AND(F887="Tidak Ada",F889&lt;&gt;0),"CEK","")))</f>
        <v/>
      </c>
      <c r="K889" s="31" t="str">
        <f>IF(J889="CEK",F887&amp;" Produk Unggulan Buah Lainnya","")</f>
        <v/>
      </c>
      <c r="L889" s="43"/>
      <c r="M889" s="21"/>
      <c r="N889" s="21"/>
      <c r="O889" s="21"/>
      <c r="P889" s="21"/>
      <c r="Q889" s="21"/>
      <c r="R889" s="21"/>
      <c r="S889" s="21"/>
      <c r="T889" s="21"/>
      <c r="U889" s="21"/>
      <c r="V889" s="21"/>
    </row>
    <row r="890" spans="1:22" s="2" customFormat="1" ht="30" customHeight="1" x14ac:dyDescent="0.25">
      <c r="A890" s="613" t="s">
        <v>205</v>
      </c>
      <c r="B890" s="298"/>
      <c r="C890" s="298"/>
      <c r="D890" s="428"/>
      <c r="E890" s="429"/>
      <c r="F890" s="714"/>
      <c r="G890" s="924"/>
      <c r="H890" s="922"/>
      <c r="I890" s="923" t="s">
        <v>263</v>
      </c>
      <c r="J890" s="98"/>
      <c r="K890" s="31"/>
      <c r="L890" s="43"/>
      <c r="M890" s="21"/>
      <c r="N890" s="21"/>
      <c r="O890" s="21"/>
      <c r="P890" s="21"/>
      <c r="Q890" s="21"/>
      <c r="R890" s="21"/>
      <c r="S890" s="21"/>
      <c r="T890" s="21"/>
      <c r="U890" s="21"/>
      <c r="V890" s="21"/>
    </row>
    <row r="891" spans="1:22" s="2" customFormat="1" ht="30" customHeight="1" x14ac:dyDescent="0.25">
      <c r="A891" s="661">
        <f>A887+1</f>
        <v>249</v>
      </c>
      <c r="B891" s="382" t="s">
        <v>41</v>
      </c>
      <c r="C891" s="383" t="s">
        <v>2165</v>
      </c>
      <c r="D891" s="100">
        <f>D889+1</f>
        <v>1294</v>
      </c>
      <c r="E891" s="427" t="s">
        <v>171</v>
      </c>
      <c r="F891" s="693" t="s">
        <v>263</v>
      </c>
      <c r="G891" s="924"/>
      <c r="H891" s="922"/>
      <c r="I891" s="923" t="str">
        <f>IF(F891="ada","BAWANG MERAH","")</f>
        <v/>
      </c>
      <c r="J891" s="198" t="str">
        <f>IF(F891="","Belum Terisi",IF(OR(F891="ada",F891="Tidak Ada"),"","CEK"))</f>
        <v/>
      </c>
      <c r="K891" s="31" t="str">
        <f>IF(J891="CEK","Inputan Tidak Sesuai","")</f>
        <v/>
      </c>
      <c r="L891" s="43"/>
      <c r="M891" s="21"/>
      <c r="N891" s="21"/>
      <c r="O891" s="21"/>
      <c r="P891" s="21"/>
      <c r="Q891" s="21"/>
      <c r="R891" s="21"/>
      <c r="S891" s="21"/>
      <c r="T891" s="21"/>
      <c r="U891" s="21"/>
      <c r="V891" s="21"/>
    </row>
    <row r="892" spans="1:22" s="2" customFormat="1" ht="30" customHeight="1" x14ac:dyDescent="0.25">
      <c r="A892" s="662"/>
      <c r="B892" s="382" t="s">
        <v>139</v>
      </c>
      <c r="C892" s="383" t="s">
        <v>2219</v>
      </c>
      <c r="D892" s="100">
        <f t="shared" ref="D892:D938" si="60">D891+1</f>
        <v>1295</v>
      </c>
      <c r="E892" s="427" t="s">
        <v>188</v>
      </c>
      <c r="F892" s="829">
        <v>0</v>
      </c>
      <c r="G892" s="924"/>
      <c r="H892" s="960" t="s">
        <v>557</v>
      </c>
      <c r="I892" s="923" t="str">
        <f>IF(F893="ada","BAWANG PUTIH","")</f>
        <v/>
      </c>
      <c r="J892" s="198" t="str">
        <f>IF(F892="","Belum Terisi",IF(AND(F891="ada",F892=0),"CEK",IF(AND(F891="Tidak Ada",F892&lt;&gt;0),"CEK","")))</f>
        <v/>
      </c>
      <c r="K892" s="31" t="str">
        <f>IF(J892="CEK",F891&amp;" Produk Unggulan Bawang Merah","")</f>
        <v/>
      </c>
      <c r="L892" s="43"/>
      <c r="M892" s="21"/>
      <c r="N892" s="21"/>
      <c r="O892" s="21"/>
      <c r="P892" s="21"/>
      <c r="Q892" s="21"/>
      <c r="R892" s="21"/>
      <c r="S892" s="21"/>
      <c r="T892" s="21"/>
      <c r="U892" s="21"/>
      <c r="V892" s="21"/>
    </row>
    <row r="893" spans="1:22" s="2" customFormat="1" ht="30" customHeight="1" x14ac:dyDescent="0.25">
      <c r="A893" s="661">
        <f>A891+1</f>
        <v>250</v>
      </c>
      <c r="B893" s="382" t="s">
        <v>41</v>
      </c>
      <c r="C893" s="383" t="s">
        <v>2166</v>
      </c>
      <c r="D893" s="100">
        <f t="shared" si="60"/>
        <v>1296</v>
      </c>
      <c r="E893" s="427" t="s">
        <v>171</v>
      </c>
      <c r="F893" s="693" t="s">
        <v>263</v>
      </c>
      <c r="G893" s="924"/>
      <c r="H893" s="922"/>
      <c r="I893" s="923" t="str">
        <f>IF(F895="ada","KUBIS","")</f>
        <v/>
      </c>
      <c r="J893" s="198" t="str">
        <f>IF(F893="","Belum Terisi",IF(OR(F893="ada",F893="Tidak Ada"),"","CEK"))</f>
        <v/>
      </c>
      <c r="K893" s="31" t="str">
        <f>IF(J893="CEK","Inputan Tidak Sesuai","")</f>
        <v/>
      </c>
      <c r="L893" s="43"/>
      <c r="M893" s="21"/>
      <c r="N893" s="21"/>
      <c r="O893" s="21"/>
      <c r="P893" s="21"/>
      <c r="Q893" s="21"/>
      <c r="R893" s="21"/>
      <c r="S893" s="21"/>
      <c r="T893" s="21"/>
      <c r="U893" s="21"/>
      <c r="V893" s="21"/>
    </row>
    <row r="894" spans="1:22" s="2" customFormat="1" ht="30" customHeight="1" x14ac:dyDescent="0.25">
      <c r="A894" s="662"/>
      <c r="B894" s="382" t="s">
        <v>139</v>
      </c>
      <c r="C894" s="383" t="s">
        <v>2219</v>
      </c>
      <c r="D894" s="100">
        <f t="shared" si="60"/>
        <v>1297</v>
      </c>
      <c r="E894" s="427" t="s">
        <v>188</v>
      </c>
      <c r="F894" s="829">
        <v>0</v>
      </c>
      <c r="G894" s="924"/>
      <c r="H894" s="960" t="s">
        <v>557</v>
      </c>
      <c r="I894" s="923" t="str">
        <f>IF(F897="ada","BAYAM","")</f>
        <v/>
      </c>
      <c r="J894" s="198" t="str">
        <f>IF(F894="","Belum Terisi",IF(AND(F893="ada",F894=0),"CEK",IF(AND(F893="Tidak Ada",F894&lt;&gt;0),"CEK","")))</f>
        <v/>
      </c>
      <c r="K894" s="31" t="str">
        <f>IF(J894="CEK",F893&amp;" Produk Unggulan Bawang Putih","")</f>
        <v/>
      </c>
      <c r="L894" s="31"/>
      <c r="M894" s="21"/>
      <c r="N894" s="21"/>
      <c r="O894" s="21"/>
      <c r="P894" s="21"/>
      <c r="Q894" s="21"/>
      <c r="R894" s="21"/>
      <c r="S894" s="21"/>
      <c r="T894" s="21"/>
      <c r="U894" s="21"/>
      <c r="V894" s="21"/>
    </row>
    <row r="895" spans="1:22" s="2" customFormat="1" ht="30" customHeight="1" x14ac:dyDescent="0.25">
      <c r="A895" s="661">
        <f>A893+1</f>
        <v>251</v>
      </c>
      <c r="B895" s="382" t="s">
        <v>41</v>
      </c>
      <c r="C895" s="383" t="s">
        <v>2167</v>
      </c>
      <c r="D895" s="100">
        <f t="shared" si="60"/>
        <v>1298</v>
      </c>
      <c r="E895" s="427" t="s">
        <v>171</v>
      </c>
      <c r="F895" s="693" t="s">
        <v>263</v>
      </c>
      <c r="G895" s="924"/>
      <c r="H895" s="922"/>
      <c r="I895" s="923" t="str">
        <f>IF(F899="ada","KELOR","")</f>
        <v/>
      </c>
      <c r="J895" s="198" t="str">
        <f>IF(F895="","Belum Terisi",IF(OR(F895="ada",F895="Tidak Ada"),"","CEK"))</f>
        <v/>
      </c>
      <c r="K895" s="31" t="str">
        <f>IF(J895="CEK","Inputan Tidak Sesuai","")</f>
        <v/>
      </c>
      <c r="L895" s="43"/>
      <c r="M895" s="21"/>
      <c r="N895" s="21"/>
      <c r="O895" s="21"/>
      <c r="P895" s="21"/>
      <c r="Q895" s="21"/>
      <c r="R895" s="21"/>
      <c r="S895" s="21"/>
      <c r="T895" s="21"/>
      <c r="U895" s="21"/>
      <c r="V895" s="21"/>
    </row>
    <row r="896" spans="1:22" s="2" customFormat="1" ht="30" customHeight="1" x14ac:dyDescent="0.25">
      <c r="A896" s="662"/>
      <c r="B896" s="382" t="s">
        <v>139</v>
      </c>
      <c r="C896" s="383" t="s">
        <v>2219</v>
      </c>
      <c r="D896" s="100">
        <f t="shared" si="60"/>
        <v>1299</v>
      </c>
      <c r="E896" s="427" t="s">
        <v>188</v>
      </c>
      <c r="F896" s="829">
        <v>0</v>
      </c>
      <c r="G896" s="924"/>
      <c r="H896" s="960" t="s">
        <v>557</v>
      </c>
      <c r="I896" s="923" t="str">
        <f>IF(F901="ada","KANGKUNG","")</f>
        <v/>
      </c>
      <c r="J896" s="198" t="str">
        <f>IF(F896="","Belum Terisi",IF(AND(F895="ada",F896=0),"CEK",IF(AND(F895="Tidak Ada",F896&lt;&gt;0),"CEK","")))</f>
        <v/>
      </c>
      <c r="K896" s="31" t="str">
        <f>IF(J896="CEK",F895&amp;" Produk Unggulan Kubis","")</f>
        <v/>
      </c>
      <c r="L896" s="43"/>
      <c r="M896" s="21"/>
      <c r="N896" s="21"/>
      <c r="O896" s="21"/>
      <c r="P896" s="21"/>
      <c r="Q896" s="21"/>
      <c r="R896" s="21"/>
      <c r="S896" s="21"/>
      <c r="T896" s="21"/>
      <c r="U896" s="21"/>
      <c r="V896" s="21"/>
    </row>
    <row r="897" spans="1:22" s="2" customFormat="1" ht="30" customHeight="1" x14ac:dyDescent="0.25">
      <c r="A897" s="661">
        <f>A895+1</f>
        <v>252</v>
      </c>
      <c r="B897" s="382" t="s">
        <v>41</v>
      </c>
      <c r="C897" s="383" t="s">
        <v>2168</v>
      </c>
      <c r="D897" s="100">
        <f t="shared" si="60"/>
        <v>1300</v>
      </c>
      <c r="E897" s="427" t="s">
        <v>171</v>
      </c>
      <c r="F897" s="693" t="s">
        <v>263</v>
      </c>
      <c r="G897" s="924"/>
      <c r="H897" s="922"/>
      <c r="I897" s="923" t="str">
        <f>IF(F903="ada","KOL","")</f>
        <v/>
      </c>
      <c r="J897" s="198" t="str">
        <f>IF(F897="","Belum Terisi",IF(OR(F897="ada",F897="Tidak Ada"),"","CEK"))</f>
        <v/>
      </c>
      <c r="K897" s="31" t="str">
        <f>IF(J897="CEK","Inputan Tidak Sesuai","")</f>
        <v/>
      </c>
      <c r="L897" s="31"/>
      <c r="M897" s="21"/>
      <c r="N897" s="21"/>
      <c r="O897" s="21"/>
      <c r="P897" s="21"/>
      <c r="Q897" s="21"/>
      <c r="R897" s="21"/>
      <c r="S897" s="21"/>
      <c r="T897" s="21"/>
      <c r="U897" s="21"/>
      <c r="V897" s="21"/>
    </row>
    <row r="898" spans="1:22" s="2" customFormat="1" ht="30" customHeight="1" x14ac:dyDescent="0.25">
      <c r="A898" s="662"/>
      <c r="B898" s="382" t="s">
        <v>139</v>
      </c>
      <c r="C898" s="383" t="s">
        <v>2219</v>
      </c>
      <c r="D898" s="100">
        <f t="shared" si="60"/>
        <v>1301</v>
      </c>
      <c r="E898" s="427" t="s">
        <v>188</v>
      </c>
      <c r="F898" s="829">
        <v>0</v>
      </c>
      <c r="G898" s="924"/>
      <c r="H898" s="960" t="s">
        <v>557</v>
      </c>
      <c r="I898" s="923" t="str">
        <f>IF(F905="ada","SELADA","")</f>
        <v/>
      </c>
      <c r="J898" s="198" t="str">
        <f>IF(F898="","Belum Terisi",IF(AND(F897="ada",F898=0),"CEK",IF(AND(F897="Tidak Ada",F898&lt;&gt;0),"CEK","")))</f>
        <v/>
      </c>
      <c r="K898" s="31" t="str">
        <f>IF(J898="CEK",F897&amp;" Produk Unggulan Bayam","")</f>
        <v/>
      </c>
      <c r="L898" s="43"/>
      <c r="M898" s="21"/>
      <c r="N898" s="21"/>
      <c r="O898" s="21"/>
      <c r="P898" s="21"/>
      <c r="Q898" s="21"/>
      <c r="R898" s="21"/>
      <c r="S898" s="21"/>
      <c r="T898" s="21"/>
      <c r="U898" s="21"/>
      <c r="V898" s="21"/>
    </row>
    <row r="899" spans="1:22" s="2" customFormat="1" ht="30" customHeight="1" x14ac:dyDescent="0.25">
      <c r="A899" s="661">
        <f>A897+1</f>
        <v>253</v>
      </c>
      <c r="B899" s="382" t="s">
        <v>41</v>
      </c>
      <c r="C899" s="383" t="s">
        <v>2169</v>
      </c>
      <c r="D899" s="100">
        <f t="shared" si="60"/>
        <v>1302</v>
      </c>
      <c r="E899" s="427" t="s">
        <v>171</v>
      </c>
      <c r="F899" s="693" t="s">
        <v>263</v>
      </c>
      <c r="G899" s="924"/>
      <c r="H899" s="922"/>
      <c r="I899" s="923" t="str">
        <f>IF(F907="ada","MENTIMUN","")</f>
        <v>MENTIMUN</v>
      </c>
      <c r="J899" s="198" t="str">
        <f>IF(F899="","Belum Terisi",IF(OR(F899="ada",F899="Tidak Ada"),"","CEK"))</f>
        <v/>
      </c>
      <c r="K899" s="31" t="str">
        <f>IF(J899="CEK","Inputan Tidak Sesuai","")</f>
        <v/>
      </c>
      <c r="L899" s="43"/>
      <c r="M899" s="21"/>
      <c r="N899" s="21"/>
      <c r="O899" s="21"/>
      <c r="P899" s="21"/>
      <c r="Q899" s="21"/>
      <c r="R899" s="21"/>
      <c r="S899" s="21"/>
      <c r="T899" s="21"/>
      <c r="U899" s="21"/>
      <c r="V899" s="21"/>
    </row>
    <row r="900" spans="1:22" s="2" customFormat="1" ht="30" customHeight="1" x14ac:dyDescent="0.25">
      <c r="A900" s="662"/>
      <c r="B900" s="382" t="s">
        <v>139</v>
      </c>
      <c r="C900" s="383" t="s">
        <v>2219</v>
      </c>
      <c r="D900" s="100">
        <f t="shared" si="60"/>
        <v>1303</v>
      </c>
      <c r="E900" s="427" t="s">
        <v>188</v>
      </c>
      <c r="F900" s="829">
        <v>0</v>
      </c>
      <c r="G900" s="924"/>
      <c r="H900" s="960" t="s">
        <v>557</v>
      </c>
      <c r="I900" s="923" t="str">
        <f>IF(F909="ada","BUNCIS","")</f>
        <v>BUNCIS</v>
      </c>
      <c r="J900" s="198" t="str">
        <f>IF(F900="","Belum Terisi",IF(AND(F899="ada",F900=0),"CEK",IF(AND(F899="Tidak Ada",F900&lt;&gt;0),"CEK","")))</f>
        <v/>
      </c>
      <c r="K900" s="31" t="str">
        <f>IF(J900="CEK",F899&amp;" Produk Unggulan Kelor","")</f>
        <v/>
      </c>
      <c r="L900" s="43"/>
      <c r="M900" s="21"/>
      <c r="N900" s="21"/>
      <c r="O900" s="21"/>
      <c r="P900" s="21"/>
      <c r="Q900" s="21"/>
      <c r="R900" s="21"/>
      <c r="S900" s="21"/>
      <c r="T900" s="21"/>
      <c r="U900" s="21"/>
      <c r="V900" s="21"/>
    </row>
    <row r="901" spans="1:22" s="2" customFormat="1" ht="30" customHeight="1" x14ac:dyDescent="0.25">
      <c r="A901" s="661">
        <f>A899+1</f>
        <v>254</v>
      </c>
      <c r="B901" s="382" t="s">
        <v>41</v>
      </c>
      <c r="C901" s="383" t="s">
        <v>2170</v>
      </c>
      <c r="D901" s="100">
        <f t="shared" si="60"/>
        <v>1304</v>
      </c>
      <c r="E901" s="427" t="s">
        <v>171</v>
      </c>
      <c r="F901" s="693" t="s">
        <v>263</v>
      </c>
      <c r="G901" s="924"/>
      <c r="H901" s="922"/>
      <c r="I901" s="923" t="str">
        <f>IF(F911="ada","BROKOLI","")</f>
        <v/>
      </c>
      <c r="J901" s="198" t="str">
        <f>IF(F901="","Belum Terisi",IF(OR(F901="ada",F901="Tidak Ada"),"","CEK"))</f>
        <v/>
      </c>
      <c r="K901" s="31" t="str">
        <f>IF(J901="CEK","Inputan Tidak Sesuai","")</f>
        <v/>
      </c>
      <c r="L901" s="43"/>
      <c r="M901" s="21"/>
      <c r="N901" s="21"/>
      <c r="O901" s="21"/>
      <c r="P901" s="21"/>
      <c r="Q901" s="21"/>
      <c r="R901" s="21"/>
      <c r="S901" s="21"/>
      <c r="T901" s="21"/>
      <c r="U901" s="21"/>
      <c r="V901" s="21"/>
    </row>
    <row r="902" spans="1:22" s="2" customFormat="1" ht="30" customHeight="1" x14ac:dyDescent="0.25">
      <c r="A902" s="662"/>
      <c r="B902" s="382" t="s">
        <v>139</v>
      </c>
      <c r="C902" s="383" t="s">
        <v>2219</v>
      </c>
      <c r="D902" s="100">
        <f t="shared" si="60"/>
        <v>1305</v>
      </c>
      <c r="E902" s="427" t="s">
        <v>188</v>
      </c>
      <c r="F902" s="829">
        <v>0</v>
      </c>
      <c r="G902" s="924"/>
      <c r="H902" s="960" t="s">
        <v>557</v>
      </c>
      <c r="I902" s="923" t="str">
        <f>IF(F913="ada","TOGE","")</f>
        <v>TOGE</v>
      </c>
      <c r="J902" s="198" t="str">
        <f>IF(F902="","Belum Terisi",IF(AND(F901="ada",F902=0),"CEK",IF(AND(F901="Tidak Ada",F902&lt;&gt;0),"CEK","")))</f>
        <v/>
      </c>
      <c r="K902" s="31" t="str">
        <f>IF(J902="CEK",F901&amp;" Produk Unggulan Kangkung","")</f>
        <v/>
      </c>
      <c r="L902" s="31"/>
      <c r="M902" s="21"/>
      <c r="N902" s="21"/>
      <c r="O902" s="21"/>
      <c r="P902" s="21"/>
      <c r="Q902" s="21"/>
      <c r="R902" s="21"/>
      <c r="S902" s="21"/>
      <c r="T902" s="21"/>
      <c r="U902" s="21"/>
      <c r="V902" s="21"/>
    </row>
    <row r="903" spans="1:22" s="2" customFormat="1" ht="30" customHeight="1" x14ac:dyDescent="0.25">
      <c r="A903" s="661">
        <f>A901+1</f>
        <v>255</v>
      </c>
      <c r="B903" s="382" t="s">
        <v>41</v>
      </c>
      <c r="C903" s="383" t="s">
        <v>2171</v>
      </c>
      <c r="D903" s="100">
        <f t="shared" si="60"/>
        <v>1306</v>
      </c>
      <c r="E903" s="427" t="s">
        <v>171</v>
      </c>
      <c r="F903" s="693" t="s">
        <v>263</v>
      </c>
      <c r="G903" s="924"/>
      <c r="H903" s="922"/>
      <c r="I903" s="923" t="str">
        <f>IF(F915="ada","SELEDRI","")</f>
        <v>SELEDRI</v>
      </c>
      <c r="J903" s="198" t="str">
        <f>IF(F903="","Belum Terisi",IF(OR(F903="ada",F903="Tidak Ada"),"","CEK"))</f>
        <v/>
      </c>
      <c r="K903" s="31" t="str">
        <f>IF(J903="CEK","Inputan Tidak Sesuai","")</f>
        <v/>
      </c>
      <c r="L903" s="43"/>
      <c r="M903" s="21"/>
      <c r="N903" s="21"/>
      <c r="O903" s="21"/>
      <c r="P903" s="21"/>
      <c r="Q903" s="21"/>
      <c r="R903" s="21"/>
      <c r="S903" s="21"/>
      <c r="T903" s="21"/>
      <c r="U903" s="21"/>
      <c r="V903" s="21"/>
    </row>
    <row r="904" spans="1:22" s="2" customFormat="1" ht="30" customHeight="1" x14ac:dyDescent="0.25">
      <c r="A904" s="662"/>
      <c r="B904" s="382" t="s">
        <v>139</v>
      </c>
      <c r="C904" s="383" t="s">
        <v>2219</v>
      </c>
      <c r="D904" s="100">
        <f t="shared" si="60"/>
        <v>1307</v>
      </c>
      <c r="E904" s="427" t="s">
        <v>188</v>
      </c>
      <c r="F904" s="829">
        <v>0</v>
      </c>
      <c r="G904" s="924"/>
      <c r="H904" s="960" t="s">
        <v>557</v>
      </c>
      <c r="I904" s="923" t="str">
        <f>IF(F917="ada","KEMANGI","")</f>
        <v>KEMANGI</v>
      </c>
      <c r="J904" s="198" t="str">
        <f>IF(F904="","Belum Terisi",IF(AND(F903="ada",F904=0),"CEK",IF(AND(F903="Tidak Ada",F904&lt;&gt;0),"CEK","")))</f>
        <v/>
      </c>
      <c r="K904" s="31" t="str">
        <f>IF(J904="CEK",F903&amp;" Produk Unggulan Kol","")</f>
        <v/>
      </c>
      <c r="L904" s="43"/>
      <c r="M904" s="21"/>
      <c r="N904" s="21"/>
      <c r="O904" s="21"/>
      <c r="P904" s="21"/>
      <c r="Q904" s="21"/>
      <c r="R904" s="21"/>
      <c r="S904" s="21"/>
      <c r="T904" s="21"/>
      <c r="U904" s="21"/>
      <c r="V904" s="21"/>
    </row>
    <row r="905" spans="1:22" s="2" customFormat="1" ht="30" customHeight="1" x14ac:dyDescent="0.25">
      <c r="A905" s="661">
        <f>A903+1</f>
        <v>256</v>
      </c>
      <c r="B905" s="382" t="s">
        <v>41</v>
      </c>
      <c r="C905" s="383" t="s">
        <v>2172</v>
      </c>
      <c r="D905" s="100">
        <f t="shared" si="60"/>
        <v>1308</v>
      </c>
      <c r="E905" s="427" t="s">
        <v>171</v>
      </c>
      <c r="F905" s="693" t="s">
        <v>263</v>
      </c>
      <c r="G905" s="924"/>
      <c r="H905" s="922"/>
      <c r="I905" s="923" t="str">
        <f>IF(F919="ada","SAWI","")</f>
        <v>SAWI</v>
      </c>
      <c r="J905" s="198" t="str">
        <f>IF(F905="","Belum Terisi",IF(OR(F905="ada",F905="Tidak Ada"),"","CEK"))</f>
        <v/>
      </c>
      <c r="K905" s="31" t="str">
        <f>IF(J905="CEK","Inputan Tidak Sesuai","")</f>
        <v/>
      </c>
      <c r="L905" s="31"/>
      <c r="M905" s="21"/>
      <c r="N905" s="21"/>
      <c r="O905" s="21"/>
      <c r="P905" s="21"/>
      <c r="Q905" s="21"/>
      <c r="R905" s="21"/>
      <c r="S905" s="21"/>
      <c r="T905" s="21"/>
      <c r="U905" s="21"/>
      <c r="V905" s="21"/>
    </row>
    <row r="906" spans="1:22" s="2" customFormat="1" ht="30" customHeight="1" x14ac:dyDescent="0.25">
      <c r="A906" s="662"/>
      <c r="B906" s="382" t="s">
        <v>139</v>
      </c>
      <c r="C906" s="383" t="s">
        <v>2219</v>
      </c>
      <c r="D906" s="100">
        <f t="shared" si="60"/>
        <v>1309</v>
      </c>
      <c r="E906" s="427" t="s">
        <v>188</v>
      </c>
      <c r="F906" s="829">
        <v>0</v>
      </c>
      <c r="G906" s="924"/>
      <c r="H906" s="960" t="s">
        <v>557</v>
      </c>
      <c r="I906" s="923" t="str">
        <f>IF(F921="ada","CABAI KERITING","")</f>
        <v>CABAI KERITING</v>
      </c>
      <c r="J906" s="198" t="str">
        <f>IF(F906="","Belum Terisi",IF(AND(F905="ada",F906=0),"CEK",IF(AND(F905="Tidak Ada",F906&lt;&gt;0),"CEK","")))</f>
        <v/>
      </c>
      <c r="K906" s="31" t="str">
        <f>IF(J906="CEK",F905&amp;" Produk Unggulan Selada","")</f>
        <v/>
      </c>
      <c r="L906" s="43"/>
      <c r="M906" s="21"/>
      <c r="N906" s="21"/>
      <c r="O906" s="21"/>
      <c r="P906" s="21"/>
      <c r="Q906" s="21"/>
      <c r="R906" s="21"/>
      <c r="S906" s="21"/>
      <c r="T906" s="21"/>
      <c r="U906" s="21"/>
      <c r="V906" s="21"/>
    </row>
    <row r="907" spans="1:22" s="2" customFormat="1" ht="30" customHeight="1" x14ac:dyDescent="0.25">
      <c r="A907" s="661">
        <f>A905+1</f>
        <v>257</v>
      </c>
      <c r="B907" s="382" t="s">
        <v>41</v>
      </c>
      <c r="C907" s="383" t="s">
        <v>2173</v>
      </c>
      <c r="D907" s="100">
        <f t="shared" si="60"/>
        <v>1310</v>
      </c>
      <c r="E907" s="427" t="s">
        <v>171</v>
      </c>
      <c r="F907" s="693" t="s">
        <v>285</v>
      </c>
      <c r="G907" s="924"/>
      <c r="H907" s="922"/>
      <c r="I907" s="923" t="str">
        <f>IF(F923="ada","CABAI RAWIT","")</f>
        <v>CABAI RAWIT</v>
      </c>
      <c r="J907" s="198" t="str">
        <f>IF(F907="","Belum Terisi",IF(OR(F907="ada",F907="Tidak Ada"),"","CEK"))</f>
        <v/>
      </c>
      <c r="K907" s="31" t="str">
        <f>IF(J907="CEK","Inputan Tidak Sesuai","")</f>
        <v/>
      </c>
      <c r="L907" s="43"/>
      <c r="M907" s="21"/>
      <c r="N907" s="21"/>
      <c r="O907" s="21"/>
      <c r="P907" s="21"/>
      <c r="Q907" s="21"/>
      <c r="R907" s="21"/>
      <c r="S907" s="21"/>
      <c r="T907" s="21"/>
      <c r="U907" s="21"/>
      <c r="V907" s="21"/>
    </row>
    <row r="908" spans="1:22" s="2" customFormat="1" ht="30" customHeight="1" x14ac:dyDescent="0.25">
      <c r="A908" s="662"/>
      <c r="B908" s="382" t="s">
        <v>139</v>
      </c>
      <c r="C908" s="383" t="s">
        <v>2219</v>
      </c>
      <c r="D908" s="100">
        <f t="shared" si="60"/>
        <v>1311</v>
      </c>
      <c r="E908" s="427" t="s">
        <v>188</v>
      </c>
      <c r="F908" s="829">
        <v>1</v>
      </c>
      <c r="G908" s="924"/>
      <c r="H908" s="960" t="s">
        <v>557</v>
      </c>
      <c r="I908" s="923" t="str">
        <f>IF(F925="ada",F926,"")</f>
        <v/>
      </c>
      <c r="J908" s="198" t="str">
        <f>IF(F908="","Belum Terisi",IF(AND(F907="ada",F908=0),"CEK",IF(AND(F907="Tidak Ada",F908&lt;&gt;0),"CEK","")))</f>
        <v/>
      </c>
      <c r="K908" s="31" t="str">
        <f>IF(J908="CEK",F907&amp;" Produk Unggulan Mentimun/ Timun/ Ketimun","")</f>
        <v/>
      </c>
      <c r="L908" s="43"/>
      <c r="M908" s="21"/>
      <c r="N908" s="21"/>
      <c r="O908" s="21"/>
      <c r="P908" s="21"/>
      <c r="Q908" s="21"/>
      <c r="R908" s="21"/>
      <c r="S908" s="21"/>
      <c r="T908" s="21"/>
      <c r="U908" s="21"/>
      <c r="V908" s="21"/>
    </row>
    <row r="909" spans="1:22" s="2" customFormat="1" ht="30" customHeight="1" x14ac:dyDescent="0.25">
      <c r="A909" s="661">
        <f>A907+1</f>
        <v>258</v>
      </c>
      <c r="B909" s="382" t="s">
        <v>41</v>
      </c>
      <c r="C909" s="383" t="s">
        <v>2174</v>
      </c>
      <c r="D909" s="100">
        <f t="shared" si="60"/>
        <v>1312</v>
      </c>
      <c r="E909" s="427" t="s">
        <v>171</v>
      </c>
      <c r="F909" s="693" t="s">
        <v>285</v>
      </c>
      <c r="G909" s="924"/>
      <c r="H909" s="922"/>
      <c r="I909" s="923" t="str">
        <f>IF(F928="ada","PARE","")</f>
        <v/>
      </c>
      <c r="J909" s="198" t="str">
        <f>IF(F909="","Belum Terisi",IF(OR(F909="ada",F909="Tidak Ada"),"","CEK"))</f>
        <v/>
      </c>
      <c r="K909" s="31" t="str">
        <f>IF(J909="CEK","Inputan Tidak Sesuai","")</f>
        <v/>
      </c>
      <c r="L909" s="43"/>
      <c r="M909" s="21"/>
      <c r="N909" s="21"/>
      <c r="O909" s="21"/>
      <c r="P909" s="21"/>
      <c r="Q909" s="21"/>
      <c r="R909" s="21"/>
      <c r="S909" s="21"/>
      <c r="T909" s="21"/>
      <c r="U909" s="21"/>
      <c r="V909" s="21"/>
    </row>
    <row r="910" spans="1:22" s="2" customFormat="1" ht="30" customHeight="1" x14ac:dyDescent="0.25">
      <c r="A910" s="662"/>
      <c r="B910" s="382" t="s">
        <v>139</v>
      </c>
      <c r="C910" s="383" t="s">
        <v>2219</v>
      </c>
      <c r="D910" s="100">
        <f t="shared" si="60"/>
        <v>1313</v>
      </c>
      <c r="E910" s="427" t="s">
        <v>188</v>
      </c>
      <c r="F910" s="829">
        <v>0.5</v>
      </c>
      <c r="G910" s="924"/>
      <c r="H910" s="960" t="s">
        <v>557</v>
      </c>
      <c r="I910" s="923" t="str">
        <f>IF(F930="ada","KACANG PANJANG","")</f>
        <v>KACANG PANJANG</v>
      </c>
      <c r="J910" s="198" t="str">
        <f>IF(F910="","Belum Terisi",IF(AND(F909="ada",F910=0),"CEK",IF(AND(F909="Tidak Ada",F910&lt;&gt;0),"CEK","")))</f>
        <v/>
      </c>
      <c r="K910" s="31" t="str">
        <f>IF(J910="CEK",F909&amp;" Produk Unggulan Buncis","")</f>
        <v/>
      </c>
      <c r="L910" s="31"/>
      <c r="M910" s="21"/>
      <c r="N910" s="21"/>
      <c r="O910" s="21"/>
      <c r="P910" s="21"/>
      <c r="Q910" s="21"/>
      <c r="R910" s="21"/>
      <c r="S910" s="21"/>
      <c r="T910" s="21"/>
      <c r="U910" s="21"/>
      <c r="V910" s="21"/>
    </row>
    <row r="911" spans="1:22" s="2" customFormat="1" ht="30" customHeight="1" x14ac:dyDescent="0.25">
      <c r="A911" s="661">
        <f>A909+1</f>
        <v>259</v>
      </c>
      <c r="B911" s="382" t="s">
        <v>41</v>
      </c>
      <c r="C911" s="383" t="s">
        <v>2175</v>
      </c>
      <c r="D911" s="100">
        <f t="shared" si="60"/>
        <v>1314</v>
      </c>
      <c r="E911" s="427" t="s">
        <v>171</v>
      </c>
      <c r="F911" s="693" t="s">
        <v>263</v>
      </c>
      <c r="G911" s="924"/>
      <c r="H911" s="922"/>
      <c r="I911" s="923" t="str">
        <f>IF(F932="ada","TERONG","")</f>
        <v>TERONG</v>
      </c>
      <c r="J911" s="198" t="str">
        <f>IF(F911="","Belum Terisi",IF(OR(F911="ada",F911="Tidak Ada"),"","CEK"))</f>
        <v/>
      </c>
      <c r="K911" s="31" t="str">
        <f>IF(J911="CEK","Inputan Tidak Sesuai","")</f>
        <v/>
      </c>
      <c r="L911" s="43"/>
      <c r="M911" s="21"/>
      <c r="N911" s="21"/>
      <c r="O911" s="21"/>
      <c r="P911" s="21"/>
      <c r="Q911" s="21"/>
      <c r="R911" s="21"/>
      <c r="S911" s="21"/>
      <c r="T911" s="21"/>
      <c r="U911" s="21"/>
      <c r="V911" s="21"/>
    </row>
    <row r="912" spans="1:22" s="2" customFormat="1" ht="30" customHeight="1" x14ac:dyDescent="0.25">
      <c r="A912" s="662"/>
      <c r="B912" s="382" t="s">
        <v>139</v>
      </c>
      <c r="C912" s="383" t="s">
        <v>2219</v>
      </c>
      <c r="D912" s="100">
        <f t="shared" si="60"/>
        <v>1315</v>
      </c>
      <c r="E912" s="427" t="s">
        <v>188</v>
      </c>
      <c r="F912" s="829">
        <v>0</v>
      </c>
      <c r="G912" s="924"/>
      <c r="H912" s="960" t="s">
        <v>557</v>
      </c>
      <c r="I912" s="923" t="str">
        <f>IF(F934="ada","REBUNG","")</f>
        <v/>
      </c>
      <c r="J912" s="198" t="str">
        <f>IF(F912="","Belum Terisi",IF(AND(F911="ada",F912=0),"CEK",IF(AND(F911="Tidak Ada",F912&lt;&gt;0),"CEK","")))</f>
        <v/>
      </c>
      <c r="K912" s="31" t="str">
        <f>IF(J912="CEK",F911&amp;" Produk Unggulan Brokoli","")</f>
        <v/>
      </c>
      <c r="L912" s="43"/>
      <c r="M912" s="21"/>
      <c r="N912" s="21"/>
      <c r="O912" s="21"/>
      <c r="P912" s="21"/>
      <c r="Q912" s="21"/>
      <c r="R912" s="21"/>
      <c r="S912" s="21"/>
      <c r="T912" s="21"/>
      <c r="U912" s="21"/>
      <c r="V912" s="21"/>
    </row>
    <row r="913" spans="1:22" s="2" customFormat="1" ht="30" customHeight="1" x14ac:dyDescent="0.25">
      <c r="A913" s="661">
        <f>A911+1</f>
        <v>260</v>
      </c>
      <c r="B913" s="382" t="s">
        <v>41</v>
      </c>
      <c r="C913" s="383" t="s">
        <v>2176</v>
      </c>
      <c r="D913" s="100">
        <f t="shared" si="60"/>
        <v>1316</v>
      </c>
      <c r="E913" s="427" t="s">
        <v>171</v>
      </c>
      <c r="F913" s="693" t="s">
        <v>285</v>
      </c>
      <c r="G913" s="924"/>
      <c r="H913" s="922"/>
      <c r="I913" s="923" t="str">
        <f>IF(F936="ada",F937,"")</f>
        <v/>
      </c>
      <c r="J913" s="198" t="str">
        <f>IF(F913="","Belum Terisi",IF(OR(F913="ada",F913="Tidak Ada"),"","CEK"))</f>
        <v/>
      </c>
      <c r="K913" s="31" t="str">
        <f>IF(J913="CEK","Inputan Tidak Sesuai","")</f>
        <v/>
      </c>
      <c r="L913" s="31"/>
      <c r="M913" s="21"/>
      <c r="N913" s="21"/>
      <c r="O913" s="21"/>
      <c r="P913" s="21"/>
      <c r="Q913" s="21"/>
      <c r="R913" s="21"/>
      <c r="S913" s="21"/>
      <c r="T913" s="21"/>
      <c r="U913" s="21"/>
      <c r="V913" s="21"/>
    </row>
    <row r="914" spans="1:22" s="2" customFormat="1" ht="30" customHeight="1" x14ac:dyDescent="0.25">
      <c r="A914" s="662"/>
      <c r="B914" s="382" t="s">
        <v>139</v>
      </c>
      <c r="C914" s="383" t="s">
        <v>2219</v>
      </c>
      <c r="D914" s="100">
        <f t="shared" si="60"/>
        <v>1317</v>
      </c>
      <c r="E914" s="427" t="s">
        <v>188</v>
      </c>
      <c r="F914" s="829">
        <v>0.5</v>
      </c>
      <c r="G914" s="924"/>
      <c r="H914" s="960" t="s">
        <v>557</v>
      </c>
      <c r="I914" s="923"/>
      <c r="J914" s="198" t="str">
        <f>IF(F914="","Belum Terisi",IF(AND(F913="ada",F914=0),"CEK",IF(AND(F913="Tidak Ada",F914&lt;&gt;0),"CEK","")))</f>
        <v/>
      </c>
      <c r="K914" s="31" t="str">
        <f>IF(J914="CEK",F913&amp;" Produk Unggulan Toge","")</f>
        <v/>
      </c>
      <c r="L914" s="43"/>
      <c r="M914" s="21"/>
      <c r="N914" s="21"/>
      <c r="O914" s="21"/>
      <c r="P914" s="21"/>
      <c r="Q914" s="21"/>
      <c r="R914" s="21"/>
      <c r="S914" s="21"/>
      <c r="T914" s="21"/>
      <c r="U914" s="21"/>
      <c r="V914" s="21"/>
    </row>
    <row r="915" spans="1:22" s="2" customFormat="1" ht="30" customHeight="1" x14ac:dyDescent="0.25">
      <c r="A915" s="661">
        <f>A913+1</f>
        <v>261</v>
      </c>
      <c r="B915" s="382" t="s">
        <v>41</v>
      </c>
      <c r="C915" s="383" t="s">
        <v>2177</v>
      </c>
      <c r="D915" s="100">
        <f t="shared" si="60"/>
        <v>1318</v>
      </c>
      <c r="E915" s="427" t="s">
        <v>171</v>
      </c>
      <c r="F915" s="693" t="s">
        <v>285</v>
      </c>
      <c r="G915" s="924"/>
      <c r="H915" s="922"/>
      <c r="I915" s="923"/>
      <c r="J915" s="198" t="str">
        <f>IF(F915="","Belum Terisi",IF(OR(F915="ada",F915="Tidak Ada"),"","CEK"))</f>
        <v/>
      </c>
      <c r="K915" s="31" t="str">
        <f>IF(J915="CEK","Inputan Tidak Sesuai","")</f>
        <v/>
      </c>
      <c r="L915" s="43"/>
      <c r="M915" s="21"/>
      <c r="N915" s="21"/>
      <c r="O915" s="21"/>
      <c r="P915" s="21"/>
      <c r="Q915" s="21"/>
      <c r="R915" s="21"/>
      <c r="S915" s="21"/>
      <c r="T915" s="21"/>
      <c r="U915" s="21"/>
      <c r="V915" s="21"/>
    </row>
    <row r="916" spans="1:22" s="2" customFormat="1" ht="30" customHeight="1" x14ac:dyDescent="0.25">
      <c r="A916" s="662"/>
      <c r="B916" s="382" t="s">
        <v>139</v>
      </c>
      <c r="C916" s="383" t="s">
        <v>2219</v>
      </c>
      <c r="D916" s="100">
        <f t="shared" si="60"/>
        <v>1319</v>
      </c>
      <c r="E916" s="427" t="s">
        <v>188</v>
      </c>
      <c r="F916" s="829">
        <v>0.5</v>
      </c>
      <c r="G916" s="924"/>
      <c r="H916" s="960" t="s">
        <v>557</v>
      </c>
      <c r="I916" s="923"/>
      <c r="J916" s="198" t="str">
        <f>IF(F916="","Belum Terisi",IF(AND(F915="ada",F916=0),"CEK",IF(AND(F915="Tidak Ada",F916&lt;&gt;0),"CEK","")))</f>
        <v/>
      </c>
      <c r="K916" s="31" t="str">
        <f>IF(J916="CEK",F915&amp;" Produk Unggulan Seledri","")</f>
        <v/>
      </c>
      <c r="L916" s="43"/>
      <c r="M916" s="21"/>
      <c r="N916" s="21"/>
      <c r="O916" s="21"/>
      <c r="P916" s="21"/>
      <c r="Q916" s="21"/>
      <c r="R916" s="21"/>
      <c r="S916" s="21"/>
      <c r="T916" s="21"/>
      <c r="U916" s="21"/>
      <c r="V916" s="21"/>
    </row>
    <row r="917" spans="1:22" s="2" customFormat="1" ht="30" customHeight="1" x14ac:dyDescent="0.25">
      <c r="A917" s="661">
        <f>A915+1</f>
        <v>262</v>
      </c>
      <c r="B917" s="382" t="s">
        <v>41</v>
      </c>
      <c r="C917" s="383" t="s">
        <v>2178</v>
      </c>
      <c r="D917" s="100">
        <f t="shared" si="60"/>
        <v>1320</v>
      </c>
      <c r="E917" s="427" t="s">
        <v>171</v>
      </c>
      <c r="F917" s="693" t="s">
        <v>285</v>
      </c>
      <c r="G917" s="924"/>
      <c r="H917" s="922"/>
      <c r="I917" s="923"/>
      <c r="J917" s="198" t="str">
        <f>IF(F917="","Belum Terisi",IF(OR(F917="ada",F917="Tidak Ada"),"","CEK"))</f>
        <v/>
      </c>
      <c r="K917" s="31" t="str">
        <f>IF(J917="CEK","Inputan Tidak Sesuai","")</f>
        <v/>
      </c>
      <c r="L917" s="43"/>
      <c r="M917" s="21"/>
      <c r="N917" s="21"/>
      <c r="O917" s="21"/>
      <c r="P917" s="21"/>
      <c r="Q917" s="21"/>
      <c r="R917" s="21"/>
      <c r="S917" s="21"/>
      <c r="T917" s="21"/>
      <c r="U917" s="21"/>
      <c r="V917" s="21"/>
    </row>
    <row r="918" spans="1:22" s="2" customFormat="1" ht="30" customHeight="1" x14ac:dyDescent="0.25">
      <c r="A918" s="662"/>
      <c r="B918" s="382" t="s">
        <v>139</v>
      </c>
      <c r="C918" s="383" t="s">
        <v>2219</v>
      </c>
      <c r="D918" s="100">
        <f t="shared" si="60"/>
        <v>1321</v>
      </c>
      <c r="E918" s="427" t="s">
        <v>188</v>
      </c>
      <c r="F918" s="829">
        <v>0.5</v>
      </c>
      <c r="G918" s="924"/>
      <c r="H918" s="960" t="s">
        <v>557</v>
      </c>
      <c r="I918" s="923"/>
      <c r="J918" s="198" t="str">
        <f>IF(F918="","Belum Terisi",IF(AND(F917="ada",F918=0),"CEK",IF(AND(F917="Tidak Ada",F918&lt;&gt;0),"CEK","")))</f>
        <v/>
      </c>
      <c r="K918" s="31" t="str">
        <f>IF(J918="CEK",F917&amp;" Produk Unggulan Kemangi","")</f>
        <v/>
      </c>
      <c r="L918" s="31"/>
      <c r="M918" s="21"/>
      <c r="N918" s="21"/>
      <c r="O918" s="21"/>
      <c r="P918" s="21"/>
      <c r="Q918" s="21"/>
      <c r="R918" s="21"/>
      <c r="S918" s="21"/>
      <c r="T918" s="21"/>
      <c r="U918" s="21"/>
      <c r="V918" s="21"/>
    </row>
    <row r="919" spans="1:22" s="2" customFormat="1" ht="30" customHeight="1" x14ac:dyDescent="0.25">
      <c r="A919" s="661">
        <f>A917+1</f>
        <v>263</v>
      </c>
      <c r="B919" s="382" t="s">
        <v>41</v>
      </c>
      <c r="C919" s="383" t="s">
        <v>2179</v>
      </c>
      <c r="D919" s="100">
        <f t="shared" si="60"/>
        <v>1322</v>
      </c>
      <c r="E919" s="427" t="s">
        <v>171</v>
      </c>
      <c r="F919" s="693" t="s">
        <v>285</v>
      </c>
      <c r="G919" s="924"/>
      <c r="H919" s="922"/>
      <c r="I919" s="923"/>
      <c r="J919" s="198" t="str">
        <f>IF(F919="","Belum Terisi",IF(OR(F919="ada",F919="Tidak Ada"),"","CEK"))</f>
        <v/>
      </c>
      <c r="K919" s="31" t="str">
        <f>IF(J919="CEK","Inputan Tidak Sesuai","")</f>
        <v/>
      </c>
      <c r="L919" s="43"/>
      <c r="M919" s="21"/>
      <c r="N919" s="21"/>
      <c r="O919" s="21"/>
      <c r="P919" s="21"/>
      <c r="Q919" s="21"/>
      <c r="R919" s="21"/>
      <c r="S919" s="21"/>
      <c r="T919" s="21"/>
      <c r="U919" s="21"/>
      <c r="V919" s="21"/>
    </row>
    <row r="920" spans="1:22" s="2" customFormat="1" ht="30" customHeight="1" x14ac:dyDescent="0.25">
      <c r="A920" s="662"/>
      <c r="B920" s="382" t="s">
        <v>139</v>
      </c>
      <c r="C920" s="383" t="s">
        <v>2219</v>
      </c>
      <c r="D920" s="100">
        <f t="shared" si="60"/>
        <v>1323</v>
      </c>
      <c r="E920" s="427" t="s">
        <v>188</v>
      </c>
      <c r="F920" s="829">
        <v>0.5</v>
      </c>
      <c r="G920" s="924"/>
      <c r="H920" s="960" t="s">
        <v>557</v>
      </c>
      <c r="I920" s="923"/>
      <c r="J920" s="198" t="str">
        <f>IF(F920="","Belum Terisi",IF(AND(F919="ada",F920=0),"CEK",IF(AND(F919="Tidak Ada",F920&lt;&gt;0),"CEK","")))</f>
        <v/>
      </c>
      <c r="K920" s="31" t="str">
        <f>IF(J920="CEK",F919&amp;" Produk Unggulan Sawi","")</f>
        <v/>
      </c>
      <c r="L920" s="43"/>
      <c r="M920" s="21"/>
      <c r="N920" s="21"/>
      <c r="O920" s="21"/>
      <c r="P920" s="21"/>
      <c r="Q920" s="21"/>
      <c r="R920" s="21"/>
      <c r="S920" s="21"/>
      <c r="T920" s="21"/>
      <c r="U920" s="21"/>
      <c r="V920" s="21"/>
    </row>
    <row r="921" spans="1:22" s="2" customFormat="1" ht="30" customHeight="1" x14ac:dyDescent="0.25">
      <c r="A921" s="661">
        <f>A919+1</f>
        <v>264</v>
      </c>
      <c r="B921" s="382" t="s">
        <v>41</v>
      </c>
      <c r="C921" s="383" t="s">
        <v>2180</v>
      </c>
      <c r="D921" s="100">
        <f t="shared" si="60"/>
        <v>1324</v>
      </c>
      <c r="E921" s="427" t="s">
        <v>171</v>
      </c>
      <c r="F921" s="693" t="s">
        <v>285</v>
      </c>
      <c r="G921" s="924"/>
      <c r="H921" s="922"/>
      <c r="I921" s="923"/>
      <c r="J921" s="198" t="str">
        <f>IF(F921="","Belum Terisi",IF(OR(F921="ada",F921="Tidak Ada"),"","CEK"))</f>
        <v/>
      </c>
      <c r="K921" s="31" t="str">
        <f>IF(J921="CEK","Inputan Tidak Sesuai","")</f>
        <v/>
      </c>
      <c r="L921" s="31"/>
      <c r="M921" s="21"/>
      <c r="N921" s="21"/>
      <c r="O921" s="21"/>
      <c r="P921" s="21"/>
      <c r="Q921" s="21"/>
      <c r="R921" s="21"/>
      <c r="S921" s="21"/>
      <c r="T921" s="21"/>
      <c r="U921" s="21"/>
      <c r="V921" s="21"/>
    </row>
    <row r="922" spans="1:22" s="2" customFormat="1" ht="30" customHeight="1" x14ac:dyDescent="0.25">
      <c r="A922" s="662"/>
      <c r="B922" s="382" t="s">
        <v>139</v>
      </c>
      <c r="C922" s="383" t="s">
        <v>2219</v>
      </c>
      <c r="D922" s="100">
        <f t="shared" si="60"/>
        <v>1325</v>
      </c>
      <c r="E922" s="427" t="s">
        <v>188</v>
      </c>
      <c r="F922" s="829">
        <v>0.5</v>
      </c>
      <c r="G922" s="924"/>
      <c r="H922" s="960" t="s">
        <v>557</v>
      </c>
      <c r="I922" s="923"/>
      <c r="J922" s="198" t="str">
        <f>IF(F922="","Belum Terisi",IF(AND(F921="ada",F922=0),"CEK",IF(AND(F921="Tidak Ada",F922&lt;&gt;0),"CEK","")))</f>
        <v/>
      </c>
      <c r="K922" s="31" t="str">
        <f>IF(J922="CEK",F921&amp;" Produk Unggulan Cabai Keriting","")</f>
        <v/>
      </c>
      <c r="L922" s="43"/>
      <c r="M922" s="21"/>
      <c r="N922" s="21"/>
      <c r="O922" s="21"/>
      <c r="P922" s="21"/>
      <c r="Q922" s="21"/>
      <c r="R922" s="21"/>
      <c r="S922" s="21"/>
      <c r="T922" s="21"/>
      <c r="U922" s="21"/>
      <c r="V922" s="21"/>
    </row>
    <row r="923" spans="1:22" s="2" customFormat="1" ht="30" customHeight="1" x14ac:dyDescent="0.25">
      <c r="A923" s="661">
        <f>A921+1</f>
        <v>265</v>
      </c>
      <c r="B923" s="382" t="s">
        <v>41</v>
      </c>
      <c r="C923" s="383" t="s">
        <v>2181</v>
      </c>
      <c r="D923" s="100">
        <f t="shared" si="60"/>
        <v>1326</v>
      </c>
      <c r="E923" s="427" t="s">
        <v>171</v>
      </c>
      <c r="F923" s="693" t="s">
        <v>285</v>
      </c>
      <c r="G923" s="924"/>
      <c r="H923" s="922"/>
      <c r="I923" s="923"/>
      <c r="J923" s="198" t="str">
        <f>IF(F923="","Belum Terisi",IF(OR(F923="ada",F923="Tidak Ada"),"","CEK"))</f>
        <v/>
      </c>
      <c r="K923" s="31" t="str">
        <f>IF(J923="CEK","Inputan Tidak Sesuai","")</f>
        <v/>
      </c>
      <c r="L923" s="43"/>
      <c r="M923" s="21"/>
      <c r="N923" s="21"/>
      <c r="O923" s="21"/>
      <c r="P923" s="21"/>
      <c r="Q923" s="21"/>
      <c r="R923" s="21"/>
      <c r="S923" s="21"/>
      <c r="T923" s="21"/>
      <c r="U923" s="21"/>
      <c r="V923" s="21"/>
    </row>
    <row r="924" spans="1:22" s="2" customFormat="1" ht="30" customHeight="1" x14ac:dyDescent="0.25">
      <c r="A924" s="662"/>
      <c r="B924" s="382" t="s">
        <v>139</v>
      </c>
      <c r="C924" s="383" t="s">
        <v>2219</v>
      </c>
      <c r="D924" s="100">
        <f t="shared" si="60"/>
        <v>1327</v>
      </c>
      <c r="E924" s="427" t="s">
        <v>188</v>
      </c>
      <c r="F924" s="829">
        <v>0.5</v>
      </c>
      <c r="G924" s="924"/>
      <c r="H924" s="960" t="s">
        <v>557</v>
      </c>
      <c r="I924" s="923"/>
      <c r="J924" s="198" t="str">
        <f>IF(F924="","Belum Terisi",IF(AND(F923="ada",F924=0),"CEK",IF(AND(F923="Tidak Ada",F924&lt;&gt;0),"CEK","")))</f>
        <v/>
      </c>
      <c r="K924" s="31" t="str">
        <f>IF(J924="CEK",F923&amp;" Produk Unggulan Cabai Rawit","")</f>
        <v/>
      </c>
      <c r="L924" s="43"/>
      <c r="M924" s="21"/>
      <c r="N924" s="21"/>
      <c r="O924" s="21"/>
      <c r="P924" s="21"/>
      <c r="Q924" s="21"/>
      <c r="R924" s="21"/>
      <c r="S924" s="21"/>
      <c r="T924" s="21"/>
      <c r="U924" s="21"/>
      <c r="V924" s="21"/>
    </row>
    <row r="925" spans="1:22" s="2" customFormat="1" ht="30" customHeight="1" x14ac:dyDescent="0.25">
      <c r="A925" s="661">
        <f>A923+1</f>
        <v>266</v>
      </c>
      <c r="B925" s="382" t="s">
        <v>41</v>
      </c>
      <c r="C925" s="383" t="s">
        <v>2182</v>
      </c>
      <c r="D925" s="100">
        <f t="shared" si="60"/>
        <v>1328</v>
      </c>
      <c r="E925" s="427" t="s">
        <v>171</v>
      </c>
      <c r="F925" s="693" t="s">
        <v>263</v>
      </c>
      <c r="G925" s="924"/>
      <c r="H925" s="922"/>
      <c r="I925" s="923"/>
      <c r="J925" s="198" t="str">
        <f>IF(F925="","Belum Terisi",IF(OR(F925="ada",F925="Tidak Ada"),"","CEK"))</f>
        <v/>
      </c>
      <c r="K925" s="31" t="str">
        <f>IF(J925="CEK","Inputan Tidak Sesuai","")</f>
        <v/>
      </c>
      <c r="L925" s="43"/>
      <c r="M925" s="21"/>
      <c r="N925" s="21"/>
      <c r="O925" s="21"/>
      <c r="P925" s="21"/>
      <c r="Q925" s="21"/>
      <c r="R925" s="21"/>
      <c r="S925" s="21"/>
      <c r="T925" s="21"/>
      <c r="U925" s="21"/>
      <c r="V925" s="21"/>
    </row>
    <row r="926" spans="1:22" s="2" customFormat="1" ht="30" customHeight="1" x14ac:dyDescent="0.25">
      <c r="A926" s="663"/>
      <c r="B926" s="382" t="s">
        <v>139</v>
      </c>
      <c r="C926" s="383" t="s">
        <v>2214</v>
      </c>
      <c r="D926" s="100">
        <f t="shared" si="60"/>
        <v>1329</v>
      </c>
      <c r="E926" s="427" t="s">
        <v>174</v>
      </c>
      <c r="F926" s="694" t="s">
        <v>240</v>
      </c>
      <c r="G926" s="924"/>
      <c r="H926" s="922"/>
      <c r="I926" s="923"/>
      <c r="J926" s="198" t="str">
        <f>IF(F926="","Belum Terisi",IF(AND(F925="Tidak Ada",F926&lt;&gt;"-"),"CEK",IF(AND(F925="Ada",F926="-"),"CEK","")))</f>
        <v/>
      </c>
      <c r="K926" s="31" t="str">
        <f>IF(J926="CEK",F925&amp;" Terdapat Produk Unggulan Tanaman Cabai Lokal","")</f>
        <v/>
      </c>
      <c r="L926" s="43"/>
      <c r="M926" s="21"/>
      <c r="N926" s="21"/>
      <c r="O926" s="21"/>
      <c r="P926" s="21"/>
      <c r="Q926" s="21"/>
      <c r="R926" s="21"/>
      <c r="S926" s="21"/>
      <c r="T926" s="21"/>
      <c r="U926" s="21"/>
      <c r="V926" s="21"/>
    </row>
    <row r="927" spans="1:22" s="2" customFormat="1" ht="30" customHeight="1" x14ac:dyDescent="0.25">
      <c r="A927" s="664"/>
      <c r="B927" s="382" t="s">
        <v>251</v>
      </c>
      <c r="C927" s="383" t="s">
        <v>2219</v>
      </c>
      <c r="D927" s="100">
        <f t="shared" si="60"/>
        <v>1330</v>
      </c>
      <c r="E927" s="427" t="s">
        <v>188</v>
      </c>
      <c r="F927" s="829">
        <v>0</v>
      </c>
      <c r="G927" s="924"/>
      <c r="H927" s="960" t="s">
        <v>557</v>
      </c>
      <c r="I927" s="923"/>
      <c r="J927" s="198" t="str">
        <f>IF(F927="","Belum Terisi",IF(AND(F925="ada",F927=0),"CEK",IF(AND(F925="Tidak Ada",F927&lt;&gt;0),"CEK","")))</f>
        <v/>
      </c>
      <c r="K927" s="31" t="str">
        <f>IF(J927="CEK",F925&amp;" Produk Unggulan Cabai Lokal","")</f>
        <v/>
      </c>
      <c r="L927" s="43"/>
      <c r="M927" s="21"/>
      <c r="N927" s="21"/>
      <c r="O927" s="21"/>
      <c r="P927" s="21"/>
      <c r="Q927" s="21"/>
      <c r="R927" s="21"/>
      <c r="S927" s="21"/>
      <c r="T927" s="21"/>
      <c r="U927" s="21"/>
      <c r="V927" s="21"/>
    </row>
    <row r="928" spans="1:22" s="2" customFormat="1" ht="30" customHeight="1" x14ac:dyDescent="0.25">
      <c r="A928" s="661">
        <f>A925+1</f>
        <v>267</v>
      </c>
      <c r="B928" s="382" t="s">
        <v>41</v>
      </c>
      <c r="C928" s="383" t="s">
        <v>2183</v>
      </c>
      <c r="D928" s="100">
        <f t="shared" si="60"/>
        <v>1331</v>
      </c>
      <c r="E928" s="427" t="s">
        <v>171</v>
      </c>
      <c r="F928" s="693" t="s">
        <v>263</v>
      </c>
      <c r="G928" s="924"/>
      <c r="H928" s="922"/>
      <c r="I928" s="923"/>
      <c r="J928" s="198" t="str">
        <f>IF(F928="","Belum Terisi",IF(OR(F928="ada",F928="Tidak Ada"),"","CEK"))</f>
        <v/>
      </c>
      <c r="K928" s="31" t="str">
        <f>IF(J928="CEK","Inputan Tidak Sesuai","")</f>
        <v/>
      </c>
      <c r="L928" s="43"/>
      <c r="M928" s="21"/>
      <c r="N928" s="21"/>
      <c r="O928" s="21"/>
      <c r="P928" s="21"/>
      <c r="Q928" s="21"/>
      <c r="R928" s="21"/>
      <c r="S928" s="21"/>
      <c r="T928" s="21"/>
      <c r="U928" s="21"/>
      <c r="V928" s="21"/>
    </row>
    <row r="929" spans="1:22" s="2" customFormat="1" ht="30" customHeight="1" x14ac:dyDescent="0.25">
      <c r="A929" s="662"/>
      <c r="B929" s="382" t="s">
        <v>139</v>
      </c>
      <c r="C929" s="383" t="s">
        <v>2219</v>
      </c>
      <c r="D929" s="100">
        <f t="shared" si="60"/>
        <v>1332</v>
      </c>
      <c r="E929" s="427" t="s">
        <v>188</v>
      </c>
      <c r="F929" s="829">
        <v>0</v>
      </c>
      <c r="G929" s="924"/>
      <c r="H929" s="960" t="s">
        <v>557</v>
      </c>
      <c r="I929" s="923"/>
      <c r="J929" s="198" t="str">
        <f>IF(F929="","Belum Terisi",IF(AND(F928="ada",F929=0),"CEK",IF(AND(F928="Tidak Ada",F929&lt;&gt;0),"CEK","")))</f>
        <v/>
      </c>
      <c r="K929" s="31" t="str">
        <f>IF(J929="CEK",F928&amp;" Produk Unggulan Pare","")</f>
        <v/>
      </c>
      <c r="L929" s="31"/>
      <c r="M929" s="21"/>
      <c r="N929" s="21"/>
      <c r="O929" s="21"/>
      <c r="P929" s="21"/>
      <c r="Q929" s="21"/>
      <c r="R929" s="21"/>
      <c r="S929" s="21"/>
      <c r="T929" s="21"/>
      <c r="U929" s="21"/>
      <c r="V929" s="21"/>
    </row>
    <row r="930" spans="1:22" s="2" customFormat="1" ht="30" customHeight="1" x14ac:dyDescent="0.25">
      <c r="A930" s="661">
        <f>A928+1</f>
        <v>268</v>
      </c>
      <c r="B930" s="382" t="s">
        <v>41</v>
      </c>
      <c r="C930" s="383" t="s">
        <v>2184</v>
      </c>
      <c r="D930" s="100">
        <f t="shared" si="60"/>
        <v>1333</v>
      </c>
      <c r="E930" s="427" t="s">
        <v>171</v>
      </c>
      <c r="F930" s="693" t="s">
        <v>285</v>
      </c>
      <c r="G930" s="924"/>
      <c r="H930" s="922"/>
      <c r="I930" s="923"/>
      <c r="J930" s="198" t="str">
        <f>IF(F930="","Belum Terisi",IF(OR(F930="ada",F930="Tidak Ada"),"","CEK"))</f>
        <v/>
      </c>
      <c r="K930" s="31" t="str">
        <f>IF(J930="CEK","Inputan Tidak Sesuai","")</f>
        <v/>
      </c>
      <c r="L930" s="43"/>
      <c r="M930" s="21"/>
      <c r="N930" s="21"/>
      <c r="O930" s="21"/>
      <c r="P930" s="21"/>
      <c r="Q930" s="21"/>
      <c r="R930" s="21"/>
      <c r="S930" s="21"/>
      <c r="T930" s="21"/>
      <c r="U930" s="21"/>
      <c r="V930" s="21"/>
    </row>
    <row r="931" spans="1:22" s="2" customFormat="1" ht="30" customHeight="1" x14ac:dyDescent="0.25">
      <c r="A931" s="662"/>
      <c r="B931" s="382" t="s">
        <v>139</v>
      </c>
      <c r="C931" s="383" t="s">
        <v>2219</v>
      </c>
      <c r="D931" s="100">
        <f t="shared" si="60"/>
        <v>1334</v>
      </c>
      <c r="E931" s="427" t="s">
        <v>188</v>
      </c>
      <c r="F931" s="829">
        <v>0.5</v>
      </c>
      <c r="G931" s="924"/>
      <c r="H931" s="960" t="s">
        <v>557</v>
      </c>
      <c r="I931" s="923"/>
      <c r="J931" s="198" t="str">
        <f>IF(F931="","Belum Terisi",IF(AND(F930="ada",F931=0),"CEK",IF(AND(F930="Tidak Ada",F931&lt;&gt;0),"CEK","")))</f>
        <v/>
      </c>
      <c r="K931" s="31" t="str">
        <f>IF(J931="CEK",F930&amp;" Produk Unggulan Kacang panjang","")</f>
        <v/>
      </c>
      <c r="L931" s="43"/>
      <c r="M931" s="21"/>
      <c r="N931" s="21"/>
      <c r="O931" s="21"/>
      <c r="P931" s="21"/>
      <c r="Q931" s="21"/>
      <c r="R931" s="21"/>
      <c r="S931" s="21"/>
      <c r="T931" s="21"/>
      <c r="U931" s="21"/>
      <c r="V931" s="21"/>
    </row>
    <row r="932" spans="1:22" s="2" customFormat="1" ht="30" customHeight="1" x14ac:dyDescent="0.25">
      <c r="A932" s="661">
        <f>A930+1</f>
        <v>269</v>
      </c>
      <c r="B932" s="382" t="s">
        <v>41</v>
      </c>
      <c r="C932" s="383" t="s">
        <v>2185</v>
      </c>
      <c r="D932" s="100">
        <f t="shared" si="60"/>
        <v>1335</v>
      </c>
      <c r="E932" s="427" t="s">
        <v>171</v>
      </c>
      <c r="F932" s="693" t="s">
        <v>285</v>
      </c>
      <c r="G932" s="924"/>
      <c r="H932" s="922"/>
      <c r="I932" s="923"/>
      <c r="J932" s="198" t="str">
        <f>IF(F932="","Belum Terisi",IF(OR(F932="ada",F932="Tidak Ada"),"","CEK"))</f>
        <v/>
      </c>
      <c r="K932" s="31" t="str">
        <f>IF(J932="CEK","Inputan Tidak Sesuai","")</f>
        <v/>
      </c>
      <c r="L932" s="31"/>
      <c r="M932" s="21"/>
      <c r="N932" s="21"/>
      <c r="O932" s="21"/>
      <c r="P932" s="21"/>
      <c r="Q932" s="21"/>
      <c r="R932" s="21"/>
      <c r="S932" s="21"/>
      <c r="T932" s="21"/>
      <c r="U932" s="21"/>
      <c r="V932" s="21"/>
    </row>
    <row r="933" spans="1:22" s="2" customFormat="1" ht="30" customHeight="1" x14ac:dyDescent="0.25">
      <c r="A933" s="662"/>
      <c r="B933" s="382" t="s">
        <v>139</v>
      </c>
      <c r="C933" s="383" t="s">
        <v>2219</v>
      </c>
      <c r="D933" s="100">
        <f t="shared" si="60"/>
        <v>1336</v>
      </c>
      <c r="E933" s="427" t="s">
        <v>188</v>
      </c>
      <c r="F933" s="829">
        <v>0.5</v>
      </c>
      <c r="G933" s="924"/>
      <c r="H933" s="960" t="s">
        <v>557</v>
      </c>
      <c r="I933" s="923"/>
      <c r="J933" s="198" t="str">
        <f>IF(F933="","Belum Terisi",IF(AND(F932="ada",F933=0),"CEK",IF(AND(F932="Tidak Ada",F933&lt;&gt;0),"CEK","")))</f>
        <v/>
      </c>
      <c r="K933" s="31" t="str">
        <f>IF(J933="CEK",F932&amp;" Produk Unggulan Terong","")</f>
        <v/>
      </c>
      <c r="L933" s="43"/>
      <c r="M933" s="21"/>
      <c r="N933" s="21"/>
      <c r="O933" s="21"/>
      <c r="P933" s="21"/>
      <c r="Q933" s="21"/>
      <c r="R933" s="21"/>
      <c r="S933" s="21"/>
      <c r="T933" s="21"/>
      <c r="U933" s="21"/>
      <c r="V933" s="21"/>
    </row>
    <row r="934" spans="1:22" s="2" customFormat="1" ht="30" customHeight="1" x14ac:dyDescent="0.25">
      <c r="A934" s="661">
        <f>A932+1</f>
        <v>270</v>
      </c>
      <c r="B934" s="382" t="s">
        <v>41</v>
      </c>
      <c r="C934" s="383" t="s">
        <v>2186</v>
      </c>
      <c r="D934" s="100">
        <f t="shared" si="60"/>
        <v>1337</v>
      </c>
      <c r="E934" s="427" t="s">
        <v>171</v>
      </c>
      <c r="F934" s="693" t="s">
        <v>263</v>
      </c>
      <c r="G934" s="924"/>
      <c r="H934" s="922"/>
      <c r="I934" s="923"/>
      <c r="J934" s="198" t="str">
        <f>IF(F934="","Belum Terisi",IF(OR(F934="ada",F934="Tidak Ada"),"","CEK"))</f>
        <v/>
      </c>
      <c r="K934" s="31" t="str">
        <f>IF(J934="CEK","Inputan Tidak Sesuai","")</f>
        <v/>
      </c>
      <c r="L934" s="43"/>
      <c r="M934" s="21"/>
      <c r="N934" s="21"/>
      <c r="O934" s="21"/>
      <c r="P934" s="21"/>
      <c r="Q934" s="21"/>
      <c r="R934" s="21"/>
      <c r="S934" s="21"/>
      <c r="T934" s="21"/>
      <c r="U934" s="21"/>
      <c r="V934" s="21"/>
    </row>
    <row r="935" spans="1:22" s="2" customFormat="1" ht="30" customHeight="1" x14ac:dyDescent="0.25">
      <c r="A935" s="662"/>
      <c r="B935" s="382" t="s">
        <v>139</v>
      </c>
      <c r="C935" s="383" t="s">
        <v>2219</v>
      </c>
      <c r="D935" s="100">
        <f t="shared" si="60"/>
        <v>1338</v>
      </c>
      <c r="E935" s="427" t="s">
        <v>188</v>
      </c>
      <c r="F935" s="829">
        <v>0</v>
      </c>
      <c r="G935" s="924"/>
      <c r="H935" s="960" t="s">
        <v>557</v>
      </c>
      <c r="I935" s="923"/>
      <c r="J935" s="198" t="str">
        <f>IF(F935="","Belum Terisi",IF(AND(F934="ada",F935=0),"CEK",IF(AND(F934="Tidak Ada",F935&lt;&gt;0),"CEK","")))</f>
        <v/>
      </c>
      <c r="K935" s="31" t="str">
        <f>IF(J935="CEK",F934&amp;" Produk Unggulan Rebung","")</f>
        <v/>
      </c>
      <c r="L935" s="43"/>
      <c r="M935" s="21"/>
      <c r="N935" s="21"/>
      <c r="O935" s="21"/>
      <c r="P935" s="21"/>
      <c r="Q935" s="21"/>
      <c r="R935" s="21"/>
      <c r="S935" s="21"/>
      <c r="T935" s="21"/>
      <c r="U935" s="21"/>
      <c r="V935" s="21"/>
    </row>
    <row r="936" spans="1:22" s="2" customFormat="1" ht="30" customHeight="1" x14ac:dyDescent="0.25">
      <c r="A936" s="661">
        <f>A934+1</f>
        <v>271</v>
      </c>
      <c r="B936" s="382" t="s">
        <v>41</v>
      </c>
      <c r="C936" s="383" t="s">
        <v>2187</v>
      </c>
      <c r="D936" s="100">
        <f t="shared" si="60"/>
        <v>1339</v>
      </c>
      <c r="E936" s="427" t="s">
        <v>171</v>
      </c>
      <c r="F936" s="693" t="s">
        <v>263</v>
      </c>
      <c r="G936" s="924"/>
      <c r="H936" s="922"/>
      <c r="I936" s="923"/>
      <c r="J936" s="198" t="str">
        <f>IF(F936="","Belum Terisi",IF(OR(F936="ada",F936="Tidak Ada"),"","CEK"))</f>
        <v/>
      </c>
      <c r="K936" s="31" t="str">
        <f>IF(J936="CEK","Inputan Tidak Sesuai","")</f>
        <v/>
      </c>
      <c r="L936" s="43"/>
      <c r="M936" s="21"/>
      <c r="N936" s="21"/>
      <c r="O936" s="21"/>
      <c r="P936" s="21"/>
      <c r="Q936" s="21"/>
      <c r="R936" s="21"/>
      <c r="S936" s="21"/>
      <c r="T936" s="21"/>
      <c r="U936" s="21"/>
      <c r="V936" s="21"/>
    </row>
    <row r="937" spans="1:22" s="2" customFormat="1" ht="30" customHeight="1" x14ac:dyDescent="0.25">
      <c r="A937" s="663"/>
      <c r="B937" s="382" t="s">
        <v>139</v>
      </c>
      <c r="C937" s="383" t="s">
        <v>2215</v>
      </c>
      <c r="D937" s="100">
        <f t="shared" si="60"/>
        <v>1340</v>
      </c>
      <c r="E937" s="427" t="s">
        <v>174</v>
      </c>
      <c r="F937" s="694" t="s">
        <v>240</v>
      </c>
      <c r="G937" s="924"/>
      <c r="H937" s="922"/>
      <c r="I937" s="923"/>
      <c r="J937" s="198" t="str">
        <f>IF(F937="","Belum Terisi",IF(AND(F936="Tidak Ada",F937&lt;&gt;"-"),"CEK",IF(AND(F936="Ada",F937="-"),"CEK","")))</f>
        <v/>
      </c>
      <c r="K937" s="31" t="str">
        <f>IF(J937="CEK",F936&amp;" Terdapat Produk Unggulan Lainnya","")</f>
        <v/>
      </c>
      <c r="L937" s="43"/>
      <c r="M937" s="21"/>
      <c r="N937" s="21"/>
      <c r="O937" s="21"/>
      <c r="P937" s="21"/>
      <c r="Q937" s="21"/>
      <c r="R937" s="21"/>
      <c r="S937" s="21"/>
      <c r="T937" s="21"/>
      <c r="U937" s="21"/>
      <c r="V937" s="21"/>
    </row>
    <row r="938" spans="1:22" s="2" customFormat="1" ht="30" customHeight="1" x14ac:dyDescent="0.25">
      <c r="A938" s="664"/>
      <c r="B938" s="382" t="s">
        <v>251</v>
      </c>
      <c r="C938" s="383" t="s">
        <v>2219</v>
      </c>
      <c r="D938" s="100">
        <f t="shared" si="60"/>
        <v>1341</v>
      </c>
      <c r="E938" s="427" t="s">
        <v>188</v>
      </c>
      <c r="F938" s="829">
        <v>0</v>
      </c>
      <c r="G938" s="924"/>
      <c r="H938" s="960" t="s">
        <v>557</v>
      </c>
      <c r="I938" s="923"/>
      <c r="J938" s="198" t="str">
        <f>IF(F938="","Belum Terisi",IF(AND(F936="ada",F938=0),"CEK",IF(AND(F936="Tidak Ada",F938&lt;&gt;0),"CEK","")))</f>
        <v/>
      </c>
      <c r="K938" s="31" t="str">
        <f>IF(J938="CEK",F936&amp;" Produk Unggulan Sayur Lainnya","")</f>
        <v/>
      </c>
      <c r="L938" s="31"/>
      <c r="M938" s="21"/>
      <c r="N938" s="21"/>
      <c r="O938" s="21"/>
      <c r="P938" s="21"/>
      <c r="Q938" s="21"/>
      <c r="R938" s="21"/>
      <c r="S938" s="21"/>
      <c r="T938" s="21"/>
      <c r="U938" s="21"/>
      <c r="V938" s="21"/>
    </row>
    <row r="939" spans="1:22" s="2" customFormat="1" ht="30" customHeight="1" x14ac:dyDescent="0.25">
      <c r="A939" s="613" t="s">
        <v>204</v>
      </c>
      <c r="B939" s="384"/>
      <c r="C939" s="384"/>
      <c r="D939" s="428"/>
      <c r="E939" s="429"/>
      <c r="F939" s="714"/>
      <c r="G939" s="924"/>
      <c r="H939" s="922"/>
      <c r="I939" s="923" t="s">
        <v>263</v>
      </c>
      <c r="J939" s="98"/>
      <c r="K939" s="31"/>
      <c r="L939" s="43"/>
      <c r="M939" s="21"/>
      <c r="N939" s="21"/>
      <c r="O939" s="21"/>
      <c r="P939" s="21"/>
      <c r="Q939" s="21"/>
      <c r="R939" s="21"/>
      <c r="S939" s="21"/>
      <c r="T939" s="21"/>
      <c r="U939" s="21"/>
      <c r="V939" s="21"/>
    </row>
    <row r="940" spans="1:22" s="2" customFormat="1" ht="30" customHeight="1" x14ac:dyDescent="0.25">
      <c r="A940" s="661">
        <f>A936+1</f>
        <v>272</v>
      </c>
      <c r="B940" s="382" t="s">
        <v>41</v>
      </c>
      <c r="C940" s="383" t="s">
        <v>2188</v>
      </c>
      <c r="D940" s="100">
        <f>D938+1</f>
        <v>1342</v>
      </c>
      <c r="E940" s="427" t="s">
        <v>171</v>
      </c>
      <c r="F940" s="693" t="s">
        <v>285</v>
      </c>
      <c r="G940" s="924"/>
      <c r="H940" s="922"/>
      <c r="I940" s="923" t="str">
        <f>IF(F940="ada","JAHE","")</f>
        <v>JAHE</v>
      </c>
      <c r="J940" s="198" t="str">
        <f>IF(F940="","Belum Terisi",IF(OR(F940="ada",F940="Tidak Ada"),"","CEK"))</f>
        <v/>
      </c>
      <c r="K940" s="31" t="str">
        <f>IF(J940="CEK","Inputan Tidak Sesuai","")</f>
        <v/>
      </c>
      <c r="L940" s="43"/>
      <c r="M940" s="21"/>
      <c r="N940" s="21"/>
      <c r="O940" s="21"/>
      <c r="P940" s="21"/>
      <c r="Q940" s="21"/>
      <c r="R940" s="21"/>
      <c r="S940" s="21"/>
      <c r="T940" s="21"/>
      <c r="U940" s="21"/>
      <c r="V940" s="21"/>
    </row>
    <row r="941" spans="1:22" s="2" customFormat="1" ht="30" customHeight="1" x14ac:dyDescent="0.25">
      <c r="A941" s="662"/>
      <c r="B941" s="382" t="s">
        <v>139</v>
      </c>
      <c r="C941" s="383" t="s">
        <v>2219</v>
      </c>
      <c r="D941" s="100">
        <f t="shared" ref="D941:D983" si="61">D940+1</f>
        <v>1343</v>
      </c>
      <c r="E941" s="427" t="s">
        <v>188</v>
      </c>
      <c r="F941" s="829">
        <v>0.5</v>
      </c>
      <c r="G941" s="924"/>
      <c r="H941" s="960" t="s">
        <v>557</v>
      </c>
      <c r="I941" s="923" t="str">
        <f>IF(F942="ada","JAHE MERAH","")</f>
        <v>JAHE MERAH</v>
      </c>
      <c r="J941" s="198" t="str">
        <f>IF(F941="","Belum Terisi",IF(AND(F940="ada",F941=0),"CEK",IF(AND(F940="Tidak Ada",F941&lt;&gt;0),"CEK","")))</f>
        <v/>
      </c>
      <c r="K941" s="31" t="str">
        <f>IF(J941="CEK",F940&amp;" Produk Unggulan Jahe","")</f>
        <v/>
      </c>
      <c r="L941" s="31"/>
      <c r="M941" s="21"/>
      <c r="N941" s="21"/>
      <c r="O941" s="21"/>
      <c r="P941" s="21"/>
      <c r="Q941" s="21"/>
      <c r="R941" s="21"/>
      <c r="S941" s="21"/>
      <c r="T941" s="21"/>
      <c r="U941" s="21"/>
      <c r="V941" s="21"/>
    </row>
    <row r="942" spans="1:22" s="2" customFormat="1" ht="30" customHeight="1" x14ac:dyDescent="0.25">
      <c r="A942" s="661">
        <f>A940+1</f>
        <v>273</v>
      </c>
      <c r="B942" s="382" t="s">
        <v>41</v>
      </c>
      <c r="C942" s="383" t="s">
        <v>2189</v>
      </c>
      <c r="D942" s="100">
        <f t="shared" si="61"/>
        <v>1344</v>
      </c>
      <c r="E942" s="427" t="s">
        <v>171</v>
      </c>
      <c r="F942" s="693" t="s">
        <v>285</v>
      </c>
      <c r="G942" s="924"/>
      <c r="H942" s="922"/>
      <c r="I942" s="923" t="str">
        <f>IF(F944="ada","KUNYIT","")</f>
        <v>KUNYIT</v>
      </c>
      <c r="J942" s="198" t="str">
        <f>IF(F942="","Belum Terisi",IF(OR(F942="ada",F942="Tidak Ada"),"","CEK"))</f>
        <v/>
      </c>
      <c r="K942" s="31" t="str">
        <f>IF(J942="CEK","Inputan Tidak Sesuai","")</f>
        <v/>
      </c>
      <c r="L942" s="43"/>
      <c r="M942" s="21"/>
      <c r="N942" s="21"/>
      <c r="O942" s="21"/>
      <c r="P942" s="21"/>
      <c r="Q942" s="21"/>
      <c r="R942" s="21"/>
      <c r="S942" s="21"/>
      <c r="T942" s="21"/>
      <c r="U942" s="21"/>
      <c r="V942" s="21"/>
    </row>
    <row r="943" spans="1:22" s="2" customFormat="1" ht="30" customHeight="1" x14ac:dyDescent="0.25">
      <c r="A943" s="662"/>
      <c r="B943" s="382" t="s">
        <v>139</v>
      </c>
      <c r="C943" s="383" t="s">
        <v>2219</v>
      </c>
      <c r="D943" s="100">
        <f t="shared" si="61"/>
        <v>1345</v>
      </c>
      <c r="E943" s="427" t="s">
        <v>188</v>
      </c>
      <c r="F943" s="829">
        <v>0.5</v>
      </c>
      <c r="G943" s="924"/>
      <c r="H943" s="960" t="s">
        <v>557</v>
      </c>
      <c r="I943" s="923" t="str">
        <f>IF(F946="ada","KUNYIT PUTIH","")</f>
        <v/>
      </c>
      <c r="J943" s="198" t="str">
        <f>IF(F943="","Belum Terisi",IF(AND(F942="ada",F943=0),"CEK",IF(AND(F942="Tidak Ada",F943&lt;&gt;0),"CEK","")))</f>
        <v/>
      </c>
      <c r="K943" s="31" t="str">
        <f>IF(J943="CEK",F942&amp;" Produk Unggulan Jahe Merah","")</f>
        <v/>
      </c>
      <c r="L943" s="43"/>
      <c r="M943" s="21"/>
      <c r="N943" s="21"/>
      <c r="O943" s="21"/>
      <c r="P943" s="21"/>
      <c r="Q943" s="21"/>
      <c r="R943" s="21"/>
      <c r="S943" s="21"/>
      <c r="T943" s="21"/>
      <c r="U943" s="21"/>
      <c r="V943" s="21"/>
    </row>
    <row r="944" spans="1:22" s="2" customFormat="1" ht="30" customHeight="1" x14ac:dyDescent="0.25">
      <c r="A944" s="661">
        <f>A942+1</f>
        <v>274</v>
      </c>
      <c r="B944" s="382" t="s">
        <v>41</v>
      </c>
      <c r="C944" s="383" t="s">
        <v>2190</v>
      </c>
      <c r="D944" s="100">
        <f t="shared" si="61"/>
        <v>1346</v>
      </c>
      <c r="E944" s="427" t="s">
        <v>171</v>
      </c>
      <c r="F944" s="693" t="s">
        <v>285</v>
      </c>
      <c r="G944" s="924"/>
      <c r="H944" s="922"/>
      <c r="I944" s="923" t="str">
        <f>IF(F948="ada","LENGKUAS/ LAOS","")</f>
        <v/>
      </c>
      <c r="J944" s="198" t="str">
        <f>IF(F944="","Belum Terisi",IF(OR(F944="ada",F944="Tidak Ada"),"","CEK"))</f>
        <v/>
      </c>
      <c r="K944" s="31" t="str">
        <f>IF(J944="CEK","Inputan Tidak Sesuai","")</f>
        <v/>
      </c>
      <c r="L944" s="31"/>
      <c r="M944" s="21"/>
      <c r="N944" s="21"/>
      <c r="O944" s="21"/>
      <c r="P944" s="21"/>
      <c r="Q944" s="21"/>
      <c r="R944" s="21"/>
      <c r="S944" s="21"/>
      <c r="T944" s="21"/>
      <c r="U944" s="21"/>
      <c r="V944" s="21"/>
    </row>
    <row r="945" spans="1:22" s="2" customFormat="1" ht="30" customHeight="1" x14ac:dyDescent="0.25">
      <c r="A945" s="662"/>
      <c r="B945" s="382" t="s">
        <v>139</v>
      </c>
      <c r="C945" s="383" t="s">
        <v>2219</v>
      </c>
      <c r="D945" s="100">
        <f t="shared" si="61"/>
        <v>1347</v>
      </c>
      <c r="E945" s="427" t="s">
        <v>188</v>
      </c>
      <c r="F945" s="829">
        <v>0.5</v>
      </c>
      <c r="G945" s="924"/>
      <c r="H945" s="960" t="s">
        <v>557</v>
      </c>
      <c r="I945" s="923" t="str">
        <f>IF(F950="ada","KENCUR","")</f>
        <v>KENCUR</v>
      </c>
      <c r="J945" s="198" t="str">
        <f>IF(F945="","Belum Terisi",IF(AND(F944="ada",F945=0),"CEK",IF(AND(F944="Tidak Ada",F945&lt;&gt;0),"CEK","")))</f>
        <v/>
      </c>
      <c r="K945" s="31" t="str">
        <f>IF(J945="CEK",F944&amp;" Produk Unggulan Kunyit","")</f>
        <v/>
      </c>
      <c r="L945" s="43"/>
      <c r="M945" s="21"/>
      <c r="N945" s="21"/>
      <c r="O945" s="21"/>
      <c r="P945" s="21"/>
      <c r="Q945" s="21"/>
      <c r="R945" s="21"/>
      <c r="S945" s="21"/>
      <c r="T945" s="21"/>
      <c r="U945" s="21"/>
      <c r="V945" s="21"/>
    </row>
    <row r="946" spans="1:22" s="2" customFormat="1" ht="30" customHeight="1" x14ac:dyDescent="0.25">
      <c r="A946" s="661">
        <f>A944+1</f>
        <v>275</v>
      </c>
      <c r="B946" s="382" t="s">
        <v>41</v>
      </c>
      <c r="C946" s="383" t="s">
        <v>2191</v>
      </c>
      <c r="D946" s="100">
        <f t="shared" si="61"/>
        <v>1348</v>
      </c>
      <c r="E946" s="427" t="s">
        <v>171</v>
      </c>
      <c r="F946" s="693" t="s">
        <v>263</v>
      </c>
      <c r="G946" s="924"/>
      <c r="H946" s="922"/>
      <c r="I946" s="923" t="str">
        <f>IF(F952="ada","TEMULAWAK","")</f>
        <v>TEMULAWAK</v>
      </c>
      <c r="J946" s="198" t="str">
        <f>IF(F946="","Belum Terisi",IF(OR(F946="ada",F946="Tidak Ada"),"","CEK"))</f>
        <v/>
      </c>
      <c r="K946" s="31" t="str">
        <f>IF(J946="CEK","Inputan Tidak Sesuai","")</f>
        <v/>
      </c>
      <c r="L946" s="43"/>
      <c r="M946" s="21"/>
      <c r="N946" s="21"/>
      <c r="O946" s="21"/>
      <c r="P946" s="21"/>
      <c r="Q946" s="21"/>
      <c r="R946" s="21"/>
      <c r="S946" s="21"/>
      <c r="T946" s="21"/>
      <c r="U946" s="21"/>
      <c r="V946" s="21"/>
    </row>
    <row r="947" spans="1:22" s="2" customFormat="1" ht="30" customHeight="1" x14ac:dyDescent="0.25">
      <c r="A947" s="662"/>
      <c r="B947" s="382" t="s">
        <v>139</v>
      </c>
      <c r="C947" s="383" t="s">
        <v>2219</v>
      </c>
      <c r="D947" s="100">
        <f t="shared" si="61"/>
        <v>1349</v>
      </c>
      <c r="E947" s="427" t="s">
        <v>188</v>
      </c>
      <c r="F947" s="829">
        <v>0</v>
      </c>
      <c r="G947" s="924"/>
      <c r="H947" s="960" t="s">
        <v>557</v>
      </c>
      <c r="I947" s="923" t="str">
        <f>IF(F954="ada","LIDAH BUAYA","")</f>
        <v/>
      </c>
      <c r="J947" s="198" t="str">
        <f>IF(F947="","Belum Terisi",IF(AND(F946="ada",F947=0),"CEK",IF(AND(F946="Tidak Ada",F947&lt;&gt;0),"CEK","")))</f>
        <v/>
      </c>
      <c r="K947" s="31" t="str">
        <f>IF(J947="CEK",F946&amp;" Produk Unggulan Kunyit Putih","")</f>
        <v/>
      </c>
      <c r="L947" s="43"/>
      <c r="M947" s="21"/>
      <c r="N947" s="21"/>
      <c r="O947" s="21"/>
      <c r="P947" s="21"/>
      <c r="Q947" s="21"/>
      <c r="R947" s="21"/>
      <c r="S947" s="21"/>
      <c r="T947" s="21"/>
      <c r="U947" s="21"/>
      <c r="V947" s="21"/>
    </row>
    <row r="948" spans="1:22" s="2" customFormat="1" ht="30" customHeight="1" x14ac:dyDescent="0.25">
      <c r="A948" s="661">
        <f>A946+1</f>
        <v>276</v>
      </c>
      <c r="B948" s="382" t="s">
        <v>41</v>
      </c>
      <c r="C948" s="383" t="s">
        <v>2192</v>
      </c>
      <c r="D948" s="100">
        <f t="shared" si="61"/>
        <v>1350</v>
      </c>
      <c r="E948" s="427" t="s">
        <v>171</v>
      </c>
      <c r="F948" s="693" t="s">
        <v>263</v>
      </c>
      <c r="G948" s="924"/>
      <c r="H948" s="922"/>
      <c r="I948" s="923" t="str">
        <f>IF(F956="ada","KUMIS KUCING","")</f>
        <v/>
      </c>
      <c r="J948" s="198" t="str">
        <f>IF(F948="","Belum Terisi",IF(OR(F948="ada",F948="Tidak Ada"),"","CEK"))</f>
        <v/>
      </c>
      <c r="K948" s="31" t="str">
        <f>IF(J948="CEK","Inputan Tidak Sesuai","")</f>
        <v/>
      </c>
      <c r="L948" s="43"/>
      <c r="M948" s="21"/>
      <c r="N948" s="21"/>
      <c r="O948" s="21"/>
      <c r="P948" s="21"/>
      <c r="Q948" s="21"/>
      <c r="R948" s="21"/>
      <c r="S948" s="21"/>
      <c r="T948" s="21"/>
      <c r="U948" s="21"/>
      <c r="V948" s="21"/>
    </row>
    <row r="949" spans="1:22" s="2" customFormat="1" ht="30" customHeight="1" x14ac:dyDescent="0.25">
      <c r="A949" s="662"/>
      <c r="B949" s="382" t="s">
        <v>139</v>
      </c>
      <c r="C949" s="383" t="s">
        <v>2219</v>
      </c>
      <c r="D949" s="100">
        <f t="shared" si="61"/>
        <v>1351</v>
      </c>
      <c r="E949" s="427" t="s">
        <v>188</v>
      </c>
      <c r="F949" s="829">
        <v>0</v>
      </c>
      <c r="G949" s="924"/>
      <c r="H949" s="960" t="s">
        <v>557</v>
      </c>
      <c r="I949" s="923" t="str">
        <f>IF(F958="ada","KEMANGI","")</f>
        <v>KEMANGI</v>
      </c>
      <c r="J949" s="198" t="str">
        <f>IF(F949="","Belum Terisi",IF(AND(F948="ada",F949=0),"CEK",IF(AND(F948="Tidak Ada",F949&lt;&gt;0),"CEK","")))</f>
        <v/>
      </c>
      <c r="K949" s="31" t="str">
        <f>IF(J949="CEK",F948&amp;" Produk Unggulan Lengkuas/ Laos","")</f>
        <v/>
      </c>
      <c r="L949" s="31"/>
      <c r="M949" s="21"/>
      <c r="N949" s="21"/>
      <c r="O949" s="21"/>
      <c r="P949" s="21"/>
      <c r="Q949" s="21"/>
      <c r="R949" s="21"/>
      <c r="S949" s="21"/>
      <c r="T949" s="21"/>
      <c r="U949" s="21"/>
      <c r="V949" s="21"/>
    </row>
    <row r="950" spans="1:22" s="2" customFormat="1" ht="30" customHeight="1" x14ac:dyDescent="0.25">
      <c r="A950" s="661">
        <f>A948+1</f>
        <v>277</v>
      </c>
      <c r="B950" s="382" t="s">
        <v>41</v>
      </c>
      <c r="C950" s="383" t="s">
        <v>2193</v>
      </c>
      <c r="D950" s="100">
        <f t="shared" si="61"/>
        <v>1352</v>
      </c>
      <c r="E950" s="427" t="s">
        <v>171</v>
      </c>
      <c r="F950" s="693" t="s">
        <v>285</v>
      </c>
      <c r="G950" s="924"/>
      <c r="H950" s="922"/>
      <c r="I950" s="923" t="str">
        <f>IF(F960="ada","SIRIH","")</f>
        <v/>
      </c>
      <c r="J950" s="198" t="str">
        <f>IF(F950="","Belum Terisi",IF(OR(F950="ada",F950="Tidak Ada"),"","CEK"))</f>
        <v/>
      </c>
      <c r="K950" s="31" t="str">
        <f>IF(J950="CEK","Inputan Tidak Sesuai","")</f>
        <v/>
      </c>
      <c r="L950" s="43"/>
      <c r="M950" s="21"/>
      <c r="N950" s="21"/>
      <c r="O950" s="21"/>
      <c r="P950" s="21"/>
      <c r="Q950" s="21"/>
      <c r="R950" s="21"/>
      <c r="S950" s="21"/>
      <c r="T950" s="21"/>
      <c r="U950" s="21"/>
      <c r="V950" s="21"/>
    </row>
    <row r="951" spans="1:22" s="2" customFormat="1" ht="30" customHeight="1" x14ac:dyDescent="0.25">
      <c r="A951" s="662"/>
      <c r="B951" s="382" t="s">
        <v>139</v>
      </c>
      <c r="C951" s="383" t="s">
        <v>2219</v>
      </c>
      <c r="D951" s="100">
        <f t="shared" si="61"/>
        <v>1353</v>
      </c>
      <c r="E951" s="427" t="s">
        <v>188</v>
      </c>
      <c r="F951" s="829">
        <v>0.5</v>
      </c>
      <c r="G951" s="924"/>
      <c r="H951" s="960" t="s">
        <v>557</v>
      </c>
      <c r="I951" s="923" t="str">
        <f>IF(F962="ada","KETUMBAR","")</f>
        <v/>
      </c>
      <c r="J951" s="198" t="str">
        <f>IF(F951="","Belum Terisi",IF(AND(F950="ada",F951=0),"CEK",IF(AND(F950="Tidak Ada",F951&lt;&gt;0),"CEK","")))</f>
        <v/>
      </c>
      <c r="K951" s="31" t="str">
        <f>IF(J951="CEK",F950&amp;" Produk Unggulan Kencur","")</f>
        <v/>
      </c>
      <c r="L951" s="43"/>
      <c r="M951" s="21"/>
      <c r="N951" s="21"/>
      <c r="O951" s="21"/>
      <c r="P951" s="21"/>
      <c r="Q951" s="21"/>
      <c r="R951" s="21"/>
      <c r="S951" s="21"/>
      <c r="T951" s="21"/>
      <c r="U951" s="21"/>
      <c r="V951" s="21"/>
    </row>
    <row r="952" spans="1:22" s="2" customFormat="1" ht="30" customHeight="1" x14ac:dyDescent="0.25">
      <c r="A952" s="661">
        <f>A950+1</f>
        <v>278</v>
      </c>
      <c r="B952" s="382" t="s">
        <v>41</v>
      </c>
      <c r="C952" s="383" t="s">
        <v>2194</v>
      </c>
      <c r="D952" s="100">
        <f t="shared" si="61"/>
        <v>1354</v>
      </c>
      <c r="E952" s="427" t="s">
        <v>171</v>
      </c>
      <c r="F952" s="693" t="s">
        <v>285</v>
      </c>
      <c r="G952" s="924"/>
      <c r="H952" s="922"/>
      <c r="I952" s="923" t="str">
        <f>IF(F964="ada","SAMBILOTO","")</f>
        <v/>
      </c>
      <c r="J952" s="198" t="str">
        <f>IF(F952="","Belum Terisi",IF(OR(F952="ada",F952="Tidak Ada"),"","CEK"))</f>
        <v/>
      </c>
      <c r="K952" s="31" t="str">
        <f>IF(J952="CEK","Inputan Tidak Sesuai","")</f>
        <v/>
      </c>
      <c r="L952" s="31"/>
      <c r="M952" s="21"/>
      <c r="N952" s="21"/>
      <c r="O952" s="21"/>
      <c r="P952" s="21"/>
      <c r="Q952" s="21"/>
      <c r="R952" s="21"/>
      <c r="S952" s="21"/>
      <c r="T952" s="21"/>
      <c r="U952" s="21"/>
      <c r="V952" s="21"/>
    </row>
    <row r="953" spans="1:22" s="2" customFormat="1" ht="30" customHeight="1" x14ac:dyDescent="0.25">
      <c r="A953" s="662"/>
      <c r="B953" s="382" t="s">
        <v>139</v>
      </c>
      <c r="C953" s="383" t="s">
        <v>2219</v>
      </c>
      <c r="D953" s="100">
        <f t="shared" si="61"/>
        <v>1355</v>
      </c>
      <c r="E953" s="427" t="s">
        <v>188</v>
      </c>
      <c r="F953" s="829">
        <v>0.5</v>
      </c>
      <c r="G953" s="924"/>
      <c r="H953" s="960" t="s">
        <v>557</v>
      </c>
      <c r="I953" s="923" t="str">
        <f>IF(F966="ada","GINGKO GILOBA","")</f>
        <v/>
      </c>
      <c r="J953" s="198" t="str">
        <f>IF(F953="","Belum Terisi",IF(AND(F952="ada",F953=0),"CEK",IF(AND(F952="Tidak Ada",F953&lt;&gt;0),"CEK","")))</f>
        <v/>
      </c>
      <c r="K953" s="31" t="str">
        <f>IF(J953="CEK",F952&amp;" Produk Unggulan Temulawak","")</f>
        <v/>
      </c>
      <c r="L953" s="43"/>
      <c r="M953" s="21"/>
      <c r="N953" s="21"/>
      <c r="O953" s="21"/>
      <c r="P953" s="21"/>
      <c r="Q953" s="21"/>
      <c r="R953" s="21"/>
      <c r="S953" s="21"/>
      <c r="T953" s="21"/>
      <c r="U953" s="21"/>
      <c r="V953" s="21"/>
    </row>
    <row r="954" spans="1:22" s="2" customFormat="1" ht="30" customHeight="1" x14ac:dyDescent="0.25">
      <c r="A954" s="661">
        <f>A952+1</f>
        <v>279</v>
      </c>
      <c r="B954" s="382" t="s">
        <v>41</v>
      </c>
      <c r="C954" s="383" t="s">
        <v>2195</v>
      </c>
      <c r="D954" s="100">
        <f t="shared" si="61"/>
        <v>1356</v>
      </c>
      <c r="E954" s="427" t="s">
        <v>171</v>
      </c>
      <c r="F954" s="693" t="s">
        <v>263</v>
      </c>
      <c r="G954" s="924"/>
      <c r="H954" s="922"/>
      <c r="I954" s="923" t="str">
        <f>IF(F968="ada","BANGLE","")</f>
        <v/>
      </c>
      <c r="J954" s="198" t="str">
        <f>IF(F954="","Belum Terisi",IF(OR(F954="ada",F954="Tidak Ada"),"","CEK"))</f>
        <v/>
      </c>
      <c r="K954" s="31" t="str">
        <f>IF(J954="CEK","Inputan Tidak Sesuai","")</f>
        <v/>
      </c>
      <c r="L954" s="43"/>
      <c r="M954" s="21"/>
      <c r="N954" s="21"/>
      <c r="O954" s="21"/>
      <c r="P954" s="21"/>
      <c r="Q954" s="21"/>
      <c r="R954" s="21"/>
      <c r="S954" s="21"/>
      <c r="T954" s="21"/>
      <c r="U954" s="21"/>
      <c r="V954" s="21"/>
    </row>
    <row r="955" spans="1:22" s="2" customFormat="1" ht="30" customHeight="1" x14ac:dyDescent="0.25">
      <c r="A955" s="662"/>
      <c r="B955" s="382" t="s">
        <v>139</v>
      </c>
      <c r="C955" s="383" t="s">
        <v>2219</v>
      </c>
      <c r="D955" s="100">
        <f t="shared" si="61"/>
        <v>1357</v>
      </c>
      <c r="E955" s="427" t="s">
        <v>188</v>
      </c>
      <c r="F955" s="829">
        <v>0</v>
      </c>
      <c r="G955" s="924"/>
      <c r="H955" s="960" t="s">
        <v>557</v>
      </c>
      <c r="I955" s="923" t="str">
        <f>IF(F970="ada","MENGKUDU","")</f>
        <v/>
      </c>
      <c r="J955" s="198" t="str">
        <f>IF(F955="","Belum Terisi",IF(AND(F954="ada",F955=0),"CEK",IF(AND(F954="Tidak Ada",F955&lt;&gt;0),"CEK","")))</f>
        <v/>
      </c>
      <c r="K955" s="31" t="str">
        <f>IF(J955="CEK",F954&amp;" Produk Unggulan Lidah Buaya","")</f>
        <v/>
      </c>
      <c r="L955" s="43"/>
      <c r="M955" s="21"/>
      <c r="N955" s="21"/>
      <c r="O955" s="21"/>
      <c r="P955" s="21"/>
      <c r="Q955" s="21"/>
      <c r="R955" s="21"/>
      <c r="S955" s="21"/>
      <c r="T955" s="21"/>
      <c r="U955" s="21"/>
      <c r="V955" s="21"/>
    </row>
    <row r="956" spans="1:22" s="2" customFormat="1" ht="30" customHeight="1" x14ac:dyDescent="0.25">
      <c r="A956" s="661">
        <f>A954+1</f>
        <v>280</v>
      </c>
      <c r="B956" s="382" t="s">
        <v>41</v>
      </c>
      <c r="C956" s="383" t="s">
        <v>2196</v>
      </c>
      <c r="D956" s="100">
        <f t="shared" si="61"/>
        <v>1358</v>
      </c>
      <c r="E956" s="427" t="s">
        <v>171</v>
      </c>
      <c r="F956" s="693" t="s">
        <v>263</v>
      </c>
      <c r="G956" s="924"/>
      <c r="H956" s="922"/>
      <c r="I956" s="923" t="str">
        <f>IF(F972="ada","KAYU MANIS","")</f>
        <v/>
      </c>
      <c r="J956" s="198" t="str">
        <f>IF(F956="","Belum Terisi",IF(OR(F956="ada",F956="Tidak Ada"),"","CEK"))</f>
        <v/>
      </c>
      <c r="K956" s="31" t="str">
        <f>IF(J956="CEK","Inputan Tidak Sesuai","")</f>
        <v/>
      </c>
      <c r="L956" s="43"/>
      <c r="M956" s="21"/>
      <c r="N956" s="21"/>
      <c r="O956" s="21"/>
      <c r="P956" s="21"/>
      <c r="Q956" s="21"/>
      <c r="R956" s="21"/>
      <c r="S956" s="21"/>
      <c r="T956" s="21"/>
      <c r="U956" s="21"/>
      <c r="V956" s="21"/>
    </row>
    <row r="957" spans="1:22" s="2" customFormat="1" ht="30" customHeight="1" x14ac:dyDescent="0.25">
      <c r="A957" s="662"/>
      <c r="B957" s="382" t="s">
        <v>139</v>
      </c>
      <c r="C957" s="383" t="s">
        <v>2219</v>
      </c>
      <c r="D957" s="100">
        <f t="shared" si="61"/>
        <v>1359</v>
      </c>
      <c r="E957" s="427" t="s">
        <v>188</v>
      </c>
      <c r="F957" s="829">
        <v>0</v>
      </c>
      <c r="G957" s="924"/>
      <c r="H957" s="960" t="s">
        <v>557</v>
      </c>
      <c r="I957" s="923" t="str">
        <f>IF(F974="ada","JINTAN HITAM","")</f>
        <v/>
      </c>
      <c r="J957" s="198" t="str">
        <f>IF(F957="","Belum Terisi",IF(AND(F956="ada",F957=0),"CEK",IF(AND(F956="Tidak Ada",F957&lt;&gt;0),"CEK","")))</f>
        <v/>
      </c>
      <c r="K957" s="31" t="str">
        <f>IF(J957="CEK",F956&amp;" Produk Unggulan Kumis Kucing","")</f>
        <v/>
      </c>
      <c r="L957" s="31"/>
      <c r="M957" s="21"/>
      <c r="N957" s="21"/>
      <c r="O957" s="21"/>
      <c r="P957" s="21"/>
      <c r="Q957" s="21"/>
      <c r="R957" s="21"/>
      <c r="S957" s="21"/>
      <c r="T957" s="21"/>
      <c r="U957" s="21"/>
      <c r="V957" s="21"/>
    </row>
    <row r="958" spans="1:22" s="2" customFormat="1" ht="30" customHeight="1" x14ac:dyDescent="0.25">
      <c r="A958" s="661">
        <f>A956+1</f>
        <v>281</v>
      </c>
      <c r="B958" s="382" t="s">
        <v>41</v>
      </c>
      <c r="C958" s="383" t="s">
        <v>2197</v>
      </c>
      <c r="D958" s="100">
        <f t="shared" si="61"/>
        <v>1360</v>
      </c>
      <c r="E958" s="427" t="s">
        <v>171</v>
      </c>
      <c r="F958" s="693" t="s">
        <v>285</v>
      </c>
      <c r="G958" s="924"/>
      <c r="H958" s="922"/>
      <c r="I958" s="923" t="str">
        <f>IF(F976="ada","KAPULAGA","")</f>
        <v>KAPULAGA</v>
      </c>
      <c r="J958" s="198" t="str">
        <f>IF(F958="","Belum Terisi",IF(OR(F958="ada",F958="Tidak Ada"),"","CEK"))</f>
        <v/>
      </c>
      <c r="K958" s="31" t="str">
        <f>IF(J958="CEK","Inputan Tidak Sesuai","")</f>
        <v/>
      </c>
      <c r="L958" s="43"/>
      <c r="M958" s="21"/>
      <c r="N958" s="21"/>
      <c r="O958" s="21"/>
      <c r="P958" s="21"/>
      <c r="Q958" s="21"/>
      <c r="R958" s="21"/>
      <c r="S958" s="21"/>
      <c r="T958" s="21"/>
      <c r="U958" s="21"/>
      <c r="V958" s="21"/>
    </row>
    <row r="959" spans="1:22" s="2" customFormat="1" ht="30" customHeight="1" x14ac:dyDescent="0.25">
      <c r="A959" s="662"/>
      <c r="B959" s="382" t="s">
        <v>139</v>
      </c>
      <c r="C959" s="383" t="s">
        <v>2219</v>
      </c>
      <c r="D959" s="100">
        <f t="shared" si="61"/>
        <v>1361</v>
      </c>
      <c r="E959" s="427" t="s">
        <v>188</v>
      </c>
      <c r="F959" s="829">
        <v>0.5</v>
      </c>
      <c r="G959" s="924"/>
      <c r="H959" s="960" t="s">
        <v>557</v>
      </c>
      <c r="I959" s="923" t="str">
        <f>IF(F978="ada","SEREH","")</f>
        <v/>
      </c>
      <c r="J959" s="198" t="str">
        <f>IF(F959="","Belum Terisi",IF(AND(F958="ada",F959=0),"CEK",IF(AND(F958="Tidak Ada",F959&lt;&gt;0),"CEK","")))</f>
        <v/>
      </c>
      <c r="K959" s="31" t="str">
        <f>IF(J959="CEK",F958&amp;" Produk Unggulan Kemangi","")</f>
        <v/>
      </c>
      <c r="L959" s="43"/>
      <c r="M959" s="21"/>
      <c r="N959" s="21"/>
      <c r="O959" s="21"/>
      <c r="P959" s="21"/>
      <c r="Q959" s="21"/>
      <c r="R959" s="21"/>
      <c r="S959" s="21"/>
      <c r="T959" s="21"/>
      <c r="U959" s="21"/>
      <c r="V959" s="21"/>
    </row>
    <row r="960" spans="1:22" s="2" customFormat="1" ht="30" customHeight="1" x14ac:dyDescent="0.25">
      <c r="A960" s="661">
        <f>A958+1</f>
        <v>282</v>
      </c>
      <c r="B960" s="382" t="s">
        <v>41</v>
      </c>
      <c r="C960" s="383" t="s">
        <v>2198</v>
      </c>
      <c r="D960" s="100">
        <f t="shared" si="61"/>
        <v>1362</v>
      </c>
      <c r="E960" s="427" t="s">
        <v>171</v>
      </c>
      <c r="F960" s="693" t="s">
        <v>263</v>
      </c>
      <c r="G960" s="924"/>
      <c r="H960" s="922"/>
      <c r="I960" s="923" t="str">
        <f>IF(F980="ada",F981,"")</f>
        <v/>
      </c>
      <c r="J960" s="198" t="str">
        <f>IF(F960="","Belum Terisi",IF(OR(F960="ada",F960="Tidak Ada"),"","CEK"))</f>
        <v/>
      </c>
      <c r="K960" s="31" t="str">
        <f>IF(J960="CEK","Inputan Tidak Sesuai","")</f>
        <v/>
      </c>
      <c r="L960" s="31"/>
      <c r="M960" s="21"/>
      <c r="N960" s="21"/>
      <c r="O960" s="21"/>
      <c r="P960" s="21"/>
      <c r="Q960" s="21"/>
      <c r="R960" s="21"/>
      <c r="S960" s="21"/>
      <c r="T960" s="21"/>
      <c r="U960" s="21"/>
      <c r="V960" s="21"/>
    </row>
    <row r="961" spans="1:22" s="2" customFormat="1" ht="30" customHeight="1" x14ac:dyDescent="0.25">
      <c r="A961" s="662"/>
      <c r="B961" s="382" t="s">
        <v>139</v>
      </c>
      <c r="C961" s="383" t="s">
        <v>2219</v>
      </c>
      <c r="D961" s="100">
        <f t="shared" si="61"/>
        <v>1363</v>
      </c>
      <c r="E961" s="427" t="s">
        <v>188</v>
      </c>
      <c r="F961" s="829">
        <v>0</v>
      </c>
      <c r="G961" s="924"/>
      <c r="H961" s="960" t="s">
        <v>557</v>
      </c>
      <c r="I961" s="923"/>
      <c r="J961" s="198" t="str">
        <f>IF(F961="","Belum Terisi",IF(AND(F960="ada",F961=0),"CEK",IF(AND(F960="Tidak Ada",F961&lt;&gt;0),"CEK","")))</f>
        <v/>
      </c>
      <c r="K961" s="31" t="str">
        <f>IF(J961="CEK",F960&amp;" Produk Unggulan Sirih","")</f>
        <v/>
      </c>
      <c r="L961" s="43"/>
      <c r="M961" s="21"/>
      <c r="N961" s="21"/>
      <c r="O961" s="21"/>
      <c r="P961" s="21"/>
      <c r="Q961" s="21"/>
      <c r="R961" s="21"/>
      <c r="S961" s="21"/>
      <c r="T961" s="21"/>
      <c r="U961" s="21"/>
      <c r="V961" s="21"/>
    </row>
    <row r="962" spans="1:22" s="2" customFormat="1" ht="30" customHeight="1" x14ac:dyDescent="0.25">
      <c r="A962" s="661">
        <f>A960+1</f>
        <v>283</v>
      </c>
      <c r="B962" s="382" t="s">
        <v>41</v>
      </c>
      <c r="C962" s="383" t="s">
        <v>2199</v>
      </c>
      <c r="D962" s="100">
        <f t="shared" si="61"/>
        <v>1364</v>
      </c>
      <c r="E962" s="427" t="s">
        <v>171</v>
      </c>
      <c r="F962" s="693" t="s">
        <v>263</v>
      </c>
      <c r="G962" s="924"/>
      <c r="H962" s="922"/>
      <c r="I962" s="923"/>
      <c r="J962" s="198" t="str">
        <f>IF(F962="","Belum Terisi",IF(OR(F962="ada",F962="Tidak Ada"),"","CEK"))</f>
        <v/>
      </c>
      <c r="K962" s="31" t="str">
        <f>IF(J962="CEK","Inputan Tidak Sesuai","")</f>
        <v/>
      </c>
      <c r="L962" s="43"/>
      <c r="M962" s="21"/>
      <c r="N962" s="21"/>
      <c r="O962" s="21"/>
      <c r="P962" s="21"/>
      <c r="Q962" s="21"/>
      <c r="R962" s="21"/>
      <c r="S962" s="21"/>
      <c r="T962" s="21"/>
      <c r="U962" s="21"/>
      <c r="V962" s="21"/>
    </row>
    <row r="963" spans="1:22" s="2" customFormat="1" ht="30" customHeight="1" x14ac:dyDescent="0.25">
      <c r="A963" s="662"/>
      <c r="B963" s="382" t="s">
        <v>139</v>
      </c>
      <c r="C963" s="383" t="s">
        <v>2219</v>
      </c>
      <c r="D963" s="100">
        <f t="shared" si="61"/>
        <v>1365</v>
      </c>
      <c r="E963" s="427" t="s">
        <v>188</v>
      </c>
      <c r="F963" s="829">
        <v>0</v>
      </c>
      <c r="G963" s="924"/>
      <c r="H963" s="960" t="s">
        <v>557</v>
      </c>
      <c r="I963" s="923"/>
      <c r="J963" s="198" t="str">
        <f>IF(F963="","Belum Terisi",IF(AND(F962="ada",F963=0),"CEK",IF(AND(F962="Tidak Ada",F963&lt;&gt;0),"CEK","")))</f>
        <v/>
      </c>
      <c r="K963" s="31" t="str">
        <f>IF(J963="CEK",F962&amp;" Produk Unggulan Ketumbar","")</f>
        <v/>
      </c>
      <c r="L963" s="43"/>
      <c r="M963" s="21"/>
      <c r="N963" s="21"/>
      <c r="O963" s="21"/>
      <c r="P963" s="21"/>
      <c r="Q963" s="21"/>
      <c r="R963" s="21"/>
      <c r="S963" s="21"/>
      <c r="T963" s="21"/>
      <c r="U963" s="21"/>
      <c r="V963" s="21"/>
    </row>
    <row r="964" spans="1:22" s="2" customFormat="1" ht="30" customHeight="1" x14ac:dyDescent="0.25">
      <c r="A964" s="661">
        <f>A962+1</f>
        <v>284</v>
      </c>
      <c r="B964" s="382" t="s">
        <v>41</v>
      </c>
      <c r="C964" s="383" t="s">
        <v>2200</v>
      </c>
      <c r="D964" s="100">
        <f t="shared" si="61"/>
        <v>1366</v>
      </c>
      <c r="E964" s="427" t="s">
        <v>171</v>
      </c>
      <c r="F964" s="693" t="s">
        <v>263</v>
      </c>
      <c r="G964" s="924"/>
      <c r="H964" s="922"/>
      <c r="I964" s="923"/>
      <c r="J964" s="198" t="str">
        <f>IF(F964="","Belum Terisi",IF(OR(F964="ada",F964="Tidak Ada"),"","CEK"))</f>
        <v/>
      </c>
      <c r="K964" s="31" t="str">
        <f>IF(J964="CEK","Inputan Tidak Sesuai","")</f>
        <v/>
      </c>
      <c r="L964" s="43"/>
      <c r="M964" s="21"/>
      <c r="N964" s="21"/>
      <c r="O964" s="21"/>
      <c r="P964" s="21"/>
      <c r="Q964" s="21"/>
      <c r="R964" s="21"/>
      <c r="S964" s="21"/>
      <c r="T964" s="21"/>
      <c r="U964" s="21"/>
      <c r="V964" s="21"/>
    </row>
    <row r="965" spans="1:22" s="2" customFormat="1" ht="30" customHeight="1" x14ac:dyDescent="0.25">
      <c r="A965" s="662"/>
      <c r="B965" s="382" t="s">
        <v>139</v>
      </c>
      <c r="C965" s="383" t="s">
        <v>2219</v>
      </c>
      <c r="D965" s="100">
        <f t="shared" si="61"/>
        <v>1367</v>
      </c>
      <c r="E965" s="427" t="s">
        <v>188</v>
      </c>
      <c r="F965" s="829">
        <v>0</v>
      </c>
      <c r="G965" s="924"/>
      <c r="H965" s="960" t="s">
        <v>557</v>
      </c>
      <c r="I965" s="923"/>
      <c r="J965" s="198" t="str">
        <f>IF(F965="","Belum Terisi",IF(AND(F964="ada",F965=0),"CEK",IF(AND(F964="Tidak Ada",F965&lt;&gt;0),"CEK","")))</f>
        <v/>
      </c>
      <c r="K965" s="31" t="str">
        <f>IF(J965="CEK",F964&amp;" Produk Unggulan Sambiloto","")</f>
        <v/>
      </c>
      <c r="L965" s="31"/>
      <c r="M965" s="21"/>
      <c r="N965" s="21"/>
      <c r="O965" s="21"/>
      <c r="P965" s="21"/>
      <c r="Q965" s="21"/>
      <c r="R965" s="21"/>
      <c r="S965" s="21"/>
      <c r="T965" s="21"/>
      <c r="U965" s="21"/>
      <c r="V965" s="21"/>
    </row>
    <row r="966" spans="1:22" s="2" customFormat="1" ht="30" customHeight="1" x14ac:dyDescent="0.25">
      <c r="A966" s="661">
        <f>A964+1</f>
        <v>285</v>
      </c>
      <c r="B966" s="382" t="s">
        <v>41</v>
      </c>
      <c r="C966" s="383" t="s">
        <v>2201</v>
      </c>
      <c r="D966" s="100">
        <f t="shared" si="61"/>
        <v>1368</v>
      </c>
      <c r="E966" s="427" t="s">
        <v>171</v>
      </c>
      <c r="F966" s="693" t="s">
        <v>263</v>
      </c>
      <c r="G966" s="924"/>
      <c r="H966" s="922"/>
      <c r="I966" s="923"/>
      <c r="J966" s="198" t="str">
        <f>IF(F966="","Belum Terisi",IF(OR(F966="ada",F966="Tidak Ada"),"","CEK"))</f>
        <v/>
      </c>
      <c r="K966" s="31" t="str">
        <f>IF(J966="CEK","Inputan Tidak Sesuai","")</f>
        <v/>
      </c>
      <c r="L966" s="43"/>
      <c r="M966" s="21"/>
      <c r="N966" s="21"/>
      <c r="O966" s="21"/>
      <c r="P966" s="21"/>
      <c r="Q966" s="21"/>
      <c r="R966" s="21"/>
      <c r="S966" s="21"/>
      <c r="T966" s="21"/>
      <c r="U966" s="21"/>
      <c r="V966" s="21"/>
    </row>
    <row r="967" spans="1:22" s="2" customFormat="1" ht="30" customHeight="1" x14ac:dyDescent="0.25">
      <c r="A967" s="662"/>
      <c r="B967" s="382" t="s">
        <v>139</v>
      </c>
      <c r="C967" s="383" t="s">
        <v>2219</v>
      </c>
      <c r="D967" s="100">
        <f t="shared" si="61"/>
        <v>1369</v>
      </c>
      <c r="E967" s="427" t="s">
        <v>188</v>
      </c>
      <c r="F967" s="829">
        <v>0</v>
      </c>
      <c r="G967" s="924"/>
      <c r="H967" s="960" t="s">
        <v>557</v>
      </c>
      <c r="I967" s="923"/>
      <c r="J967" s="198" t="str">
        <f>IF(F967="","Belum Terisi",IF(AND(F966="ada",F967=0),"CEK",IF(AND(F966="Tidak Ada",F967&lt;&gt;0),"CEK","")))</f>
        <v/>
      </c>
      <c r="K967" s="31" t="str">
        <f>IF(J967="CEK",F966&amp;" Produk Unggulan Gingko Giloba","")</f>
        <v/>
      </c>
      <c r="L967" s="43"/>
      <c r="M967" s="21"/>
      <c r="N967" s="21"/>
      <c r="O967" s="21"/>
      <c r="P967" s="21"/>
      <c r="Q967" s="21"/>
      <c r="R967" s="21"/>
      <c r="S967" s="21"/>
      <c r="T967" s="21"/>
      <c r="U967" s="21"/>
      <c r="V967" s="21"/>
    </row>
    <row r="968" spans="1:22" s="2" customFormat="1" ht="30" customHeight="1" x14ac:dyDescent="0.25">
      <c r="A968" s="661">
        <f>A966+1</f>
        <v>286</v>
      </c>
      <c r="B968" s="382" t="s">
        <v>41</v>
      </c>
      <c r="C968" s="383" t="s">
        <v>2202</v>
      </c>
      <c r="D968" s="100">
        <f t="shared" si="61"/>
        <v>1370</v>
      </c>
      <c r="E968" s="427" t="s">
        <v>171</v>
      </c>
      <c r="F968" s="693" t="s">
        <v>263</v>
      </c>
      <c r="G968" s="924"/>
      <c r="H968" s="922"/>
      <c r="I968" s="923"/>
      <c r="J968" s="198" t="str">
        <f>IF(F968="","Belum Terisi",IF(OR(F968="ada",F968="Tidak Ada"),"","CEK"))</f>
        <v/>
      </c>
      <c r="K968" s="31" t="str">
        <f>IF(J968="CEK","Inputan Tidak Sesuai","")</f>
        <v/>
      </c>
      <c r="L968" s="31"/>
      <c r="M968" s="21"/>
      <c r="N968" s="21"/>
      <c r="O968" s="21"/>
      <c r="P968" s="21"/>
      <c r="Q968" s="21"/>
      <c r="R968" s="21"/>
      <c r="S968" s="21"/>
      <c r="T968" s="21"/>
      <c r="U968" s="21"/>
      <c r="V968" s="21"/>
    </row>
    <row r="969" spans="1:22" s="2" customFormat="1" ht="30" customHeight="1" x14ac:dyDescent="0.25">
      <c r="A969" s="662"/>
      <c r="B969" s="382" t="s">
        <v>139</v>
      </c>
      <c r="C969" s="383" t="s">
        <v>2219</v>
      </c>
      <c r="D969" s="100">
        <f t="shared" si="61"/>
        <v>1371</v>
      </c>
      <c r="E969" s="427" t="s">
        <v>188</v>
      </c>
      <c r="F969" s="829">
        <v>0</v>
      </c>
      <c r="G969" s="924"/>
      <c r="H969" s="960" t="s">
        <v>557</v>
      </c>
      <c r="I969" s="923"/>
      <c r="J969" s="198" t="str">
        <f>IF(F969="","Belum Terisi",IF(AND(F968="ada",F969=0),"CEK",IF(AND(F968="Tidak Ada",F969&lt;&gt;0),"CEK","")))</f>
        <v/>
      </c>
      <c r="K969" s="31" t="str">
        <f>IF(J969="CEK",F968&amp;" Produk Unggulan Bangle","")</f>
        <v/>
      </c>
      <c r="L969" s="43"/>
      <c r="M969" s="21"/>
      <c r="N969" s="21"/>
      <c r="O969" s="21"/>
      <c r="P969" s="21"/>
      <c r="Q969" s="21"/>
      <c r="R969" s="21"/>
      <c r="S969" s="21"/>
      <c r="T969" s="21"/>
      <c r="U969" s="21"/>
      <c r="V969" s="21"/>
    </row>
    <row r="970" spans="1:22" s="2" customFormat="1" ht="30" customHeight="1" x14ac:dyDescent="0.25">
      <c r="A970" s="661">
        <f>A968+1</f>
        <v>287</v>
      </c>
      <c r="B970" s="382" t="s">
        <v>41</v>
      </c>
      <c r="C970" s="383" t="s">
        <v>2203</v>
      </c>
      <c r="D970" s="100">
        <f t="shared" si="61"/>
        <v>1372</v>
      </c>
      <c r="E970" s="427" t="s">
        <v>171</v>
      </c>
      <c r="F970" s="693" t="s">
        <v>263</v>
      </c>
      <c r="G970" s="924"/>
      <c r="H970" s="922"/>
      <c r="I970" s="923"/>
      <c r="J970" s="198" t="str">
        <f>IF(F970="","Belum Terisi",IF(OR(F970="ada",F970="Tidak Ada"),"","CEK"))</f>
        <v/>
      </c>
      <c r="K970" s="31" t="str">
        <f>IF(J970="CEK","Inputan Tidak Sesuai","")</f>
        <v/>
      </c>
      <c r="L970" s="43"/>
      <c r="M970" s="21"/>
      <c r="N970" s="21"/>
      <c r="O970" s="21"/>
      <c r="P970" s="21"/>
      <c r="Q970" s="21"/>
      <c r="R970" s="21"/>
      <c r="S970" s="21"/>
      <c r="T970" s="21"/>
      <c r="U970" s="21"/>
      <c r="V970" s="21"/>
    </row>
    <row r="971" spans="1:22" s="2" customFormat="1" ht="30" customHeight="1" x14ac:dyDescent="0.25">
      <c r="A971" s="662"/>
      <c r="B971" s="382" t="s">
        <v>139</v>
      </c>
      <c r="C971" s="383" t="s">
        <v>2219</v>
      </c>
      <c r="D971" s="100">
        <f t="shared" si="61"/>
        <v>1373</v>
      </c>
      <c r="E971" s="427" t="s">
        <v>188</v>
      </c>
      <c r="F971" s="829">
        <v>0</v>
      </c>
      <c r="G971" s="924"/>
      <c r="H971" s="960" t="s">
        <v>557</v>
      </c>
      <c r="I971" s="923"/>
      <c r="J971" s="198" t="str">
        <f>IF(F971="","Belum Terisi",IF(AND(F970="ada",F971=0),"CEK",IF(AND(F970="Tidak Ada",F971&lt;&gt;0),"CEK","")))</f>
        <v/>
      </c>
      <c r="K971" s="31" t="str">
        <f>IF(J971="CEK",F970&amp;" Produk Unggulan Mengkudu","")</f>
        <v/>
      </c>
      <c r="L971" s="43"/>
      <c r="M971" s="21"/>
      <c r="N971" s="21"/>
      <c r="O971" s="21"/>
      <c r="P971" s="21"/>
      <c r="Q971" s="21"/>
      <c r="R971" s="21"/>
      <c r="S971" s="21"/>
      <c r="T971" s="21"/>
      <c r="U971" s="21"/>
      <c r="V971" s="21"/>
    </row>
    <row r="972" spans="1:22" s="2" customFormat="1" ht="30" customHeight="1" x14ac:dyDescent="0.25">
      <c r="A972" s="661">
        <f>A970+1</f>
        <v>288</v>
      </c>
      <c r="B972" s="382" t="s">
        <v>41</v>
      </c>
      <c r="C972" s="383" t="s">
        <v>2204</v>
      </c>
      <c r="D972" s="100">
        <f t="shared" si="61"/>
        <v>1374</v>
      </c>
      <c r="E972" s="427" t="s">
        <v>171</v>
      </c>
      <c r="F972" s="693" t="s">
        <v>263</v>
      </c>
      <c r="G972" s="924"/>
      <c r="H972" s="922"/>
      <c r="I972" s="923"/>
      <c r="J972" s="198" t="str">
        <f>IF(F972="","Belum Terisi",IF(OR(F972="ada",F972="Tidak Ada"),"","CEK"))</f>
        <v/>
      </c>
      <c r="K972" s="31" t="str">
        <f>IF(J972="CEK","Inputan Tidak Sesuai","")</f>
        <v/>
      </c>
      <c r="L972" s="43"/>
      <c r="M972" s="21"/>
      <c r="N972" s="21"/>
      <c r="O972" s="21"/>
      <c r="P972" s="21"/>
      <c r="Q972" s="21"/>
      <c r="R972" s="21"/>
      <c r="S972" s="21"/>
      <c r="T972" s="21"/>
      <c r="U972" s="21"/>
      <c r="V972" s="21"/>
    </row>
    <row r="973" spans="1:22" s="2" customFormat="1" ht="30" customHeight="1" x14ac:dyDescent="0.25">
      <c r="A973" s="662"/>
      <c r="B973" s="382" t="s">
        <v>139</v>
      </c>
      <c r="C973" s="383" t="s">
        <v>2219</v>
      </c>
      <c r="D973" s="100">
        <f t="shared" si="61"/>
        <v>1375</v>
      </c>
      <c r="E973" s="427" t="s">
        <v>188</v>
      </c>
      <c r="F973" s="829">
        <v>0</v>
      </c>
      <c r="G973" s="924"/>
      <c r="H973" s="960" t="s">
        <v>557</v>
      </c>
      <c r="I973" s="923"/>
      <c r="J973" s="198" t="str">
        <f>IF(F973="","Belum Terisi",IF(AND(F972="ada",F973=0),"CEK",IF(AND(F972="Tidak Ada",F973&lt;&gt;0),"CEK","")))</f>
        <v/>
      </c>
      <c r="K973" s="31" t="str">
        <f>IF(J973="CEK",F972&amp;" Produk Unggulan Kayu Manis","")</f>
        <v/>
      </c>
      <c r="L973" s="31"/>
      <c r="M973" s="21"/>
      <c r="N973" s="21"/>
      <c r="O973" s="21"/>
      <c r="P973" s="21"/>
      <c r="Q973" s="21"/>
      <c r="R973" s="21"/>
      <c r="S973" s="21"/>
      <c r="T973" s="21"/>
      <c r="U973" s="21"/>
      <c r="V973" s="21"/>
    </row>
    <row r="974" spans="1:22" s="2" customFormat="1" ht="30" customHeight="1" x14ac:dyDescent="0.25">
      <c r="A974" s="661">
        <f>A972+1</f>
        <v>289</v>
      </c>
      <c r="B974" s="382" t="s">
        <v>41</v>
      </c>
      <c r="C974" s="383" t="s">
        <v>2205</v>
      </c>
      <c r="D974" s="100">
        <f t="shared" si="61"/>
        <v>1376</v>
      </c>
      <c r="E974" s="427" t="s">
        <v>171</v>
      </c>
      <c r="F974" s="693" t="s">
        <v>263</v>
      </c>
      <c r="G974" s="924"/>
      <c r="H974" s="922"/>
      <c r="I974" s="923"/>
      <c r="J974" s="198" t="str">
        <f>IF(F974="","Belum Terisi",IF(OR(F974="ada",F974="Tidak Ada"),"","CEK"))</f>
        <v/>
      </c>
      <c r="K974" s="31" t="str">
        <f>IF(J974="CEK","Inputan Tidak Sesuai","")</f>
        <v/>
      </c>
      <c r="L974" s="43"/>
      <c r="M974" s="21"/>
      <c r="N974" s="21"/>
      <c r="O974" s="21"/>
      <c r="P974" s="21"/>
      <c r="Q974" s="21"/>
      <c r="R974" s="21"/>
      <c r="S974" s="21"/>
      <c r="T974" s="21"/>
      <c r="U974" s="21"/>
      <c r="V974" s="21"/>
    </row>
    <row r="975" spans="1:22" s="2" customFormat="1" ht="30" customHeight="1" x14ac:dyDescent="0.25">
      <c r="A975" s="662"/>
      <c r="B975" s="382" t="s">
        <v>139</v>
      </c>
      <c r="C975" s="383" t="s">
        <v>2219</v>
      </c>
      <c r="D975" s="100">
        <f t="shared" si="61"/>
        <v>1377</v>
      </c>
      <c r="E975" s="427" t="s">
        <v>188</v>
      </c>
      <c r="F975" s="829">
        <v>0</v>
      </c>
      <c r="G975" s="924"/>
      <c r="H975" s="960" t="s">
        <v>557</v>
      </c>
      <c r="I975" s="923"/>
      <c r="J975" s="198" t="str">
        <f>IF(F975="","Belum Terisi",IF(AND(F974="ada",F975=0),"CEK",IF(AND(F974="Tidak Ada",F975&lt;&gt;0),"CEK","")))</f>
        <v/>
      </c>
      <c r="K975" s="31" t="str">
        <f>IF(J975="CEK",F974&amp;" Produk Unggulan Jintan Hitam","")</f>
        <v/>
      </c>
      <c r="L975" s="43"/>
      <c r="M975" s="21"/>
      <c r="N975" s="21"/>
      <c r="O975" s="21"/>
      <c r="P975" s="21"/>
      <c r="Q975" s="21"/>
      <c r="R975" s="21"/>
      <c r="S975" s="21"/>
      <c r="T975" s="21"/>
      <c r="U975" s="21"/>
      <c r="V975" s="21"/>
    </row>
    <row r="976" spans="1:22" s="2" customFormat="1" ht="30" customHeight="1" x14ac:dyDescent="0.25">
      <c r="A976" s="661">
        <f>A974+1</f>
        <v>290</v>
      </c>
      <c r="B976" s="382" t="s">
        <v>41</v>
      </c>
      <c r="C976" s="383" t="s">
        <v>2206</v>
      </c>
      <c r="D976" s="100">
        <f t="shared" si="61"/>
        <v>1378</v>
      </c>
      <c r="E976" s="427" t="s">
        <v>171</v>
      </c>
      <c r="F976" s="693" t="s">
        <v>285</v>
      </c>
      <c r="G976" s="924"/>
      <c r="H976" s="922"/>
      <c r="I976" s="923"/>
      <c r="J976" s="198" t="str">
        <f>IF(F976="","Belum Terisi",IF(OR(F976="ada",F976="Tidak Ada"),"","CEK"))</f>
        <v/>
      </c>
      <c r="K976" s="31" t="str">
        <f>IF(J976="CEK","Inputan Tidak Sesuai","")</f>
        <v/>
      </c>
      <c r="L976" s="31"/>
      <c r="M976" s="21"/>
      <c r="N976" s="21"/>
      <c r="O976" s="21"/>
      <c r="P976" s="21"/>
      <c r="Q976" s="21"/>
      <c r="R976" s="21"/>
      <c r="S976" s="21"/>
      <c r="T976" s="21"/>
      <c r="U976" s="21"/>
      <c r="V976" s="21"/>
    </row>
    <row r="977" spans="1:22" s="2" customFormat="1" ht="30" customHeight="1" x14ac:dyDescent="0.25">
      <c r="A977" s="662"/>
      <c r="B977" s="382" t="s">
        <v>139</v>
      </c>
      <c r="C977" s="383" t="s">
        <v>2219</v>
      </c>
      <c r="D977" s="100">
        <f t="shared" si="61"/>
        <v>1379</v>
      </c>
      <c r="E977" s="427" t="s">
        <v>188</v>
      </c>
      <c r="F977" s="829">
        <v>0.5</v>
      </c>
      <c r="G977" s="924"/>
      <c r="H977" s="960" t="s">
        <v>557</v>
      </c>
      <c r="I977" s="923"/>
      <c r="J977" s="198" t="str">
        <f>IF(F977="","Belum Terisi",IF(AND(F976="ada",F977=0),"CEK",IF(AND(F976="Tidak Ada",F977&lt;&gt;0),"CEK","")))</f>
        <v/>
      </c>
      <c r="K977" s="31" t="str">
        <f>IF(J977="CEK",F976&amp;" Produk Unggulan Kapulaga","")</f>
        <v/>
      </c>
      <c r="L977" s="43"/>
      <c r="M977" s="21"/>
      <c r="N977" s="21"/>
      <c r="O977" s="21"/>
      <c r="P977" s="21"/>
      <c r="Q977" s="21"/>
      <c r="R977" s="21"/>
      <c r="S977" s="21"/>
      <c r="T977" s="21"/>
      <c r="U977" s="21"/>
      <c r="V977" s="21"/>
    </row>
    <row r="978" spans="1:22" s="2" customFormat="1" ht="30" customHeight="1" x14ac:dyDescent="0.25">
      <c r="A978" s="661">
        <f>A976+1</f>
        <v>291</v>
      </c>
      <c r="B978" s="382" t="s">
        <v>41</v>
      </c>
      <c r="C978" s="383" t="s">
        <v>2207</v>
      </c>
      <c r="D978" s="100">
        <f t="shared" si="61"/>
        <v>1380</v>
      </c>
      <c r="E978" s="427" t="s">
        <v>171</v>
      </c>
      <c r="F978" s="693" t="s">
        <v>263</v>
      </c>
      <c r="G978" s="924"/>
      <c r="H978" s="922"/>
      <c r="I978" s="923"/>
      <c r="J978" s="198" t="str">
        <f>IF(F978="","Belum Terisi",IF(OR(F978="ada",F978="Tidak Ada"),"","CEK"))</f>
        <v/>
      </c>
      <c r="K978" s="31" t="str">
        <f>IF(J978="CEK","Inputan Tidak Sesuai","")</f>
        <v/>
      </c>
      <c r="L978" s="43"/>
      <c r="M978" s="21"/>
      <c r="N978" s="21"/>
      <c r="O978" s="21"/>
      <c r="P978" s="21"/>
      <c r="Q978" s="21"/>
      <c r="R978" s="21"/>
      <c r="S978" s="21"/>
      <c r="T978" s="21"/>
      <c r="U978" s="21"/>
      <c r="V978" s="21"/>
    </row>
    <row r="979" spans="1:22" s="2" customFormat="1" ht="30" customHeight="1" x14ac:dyDescent="0.25">
      <c r="A979" s="662"/>
      <c r="B979" s="382" t="s">
        <v>139</v>
      </c>
      <c r="C979" s="383" t="s">
        <v>2219</v>
      </c>
      <c r="D979" s="100">
        <f t="shared" si="61"/>
        <v>1381</v>
      </c>
      <c r="E979" s="427" t="s">
        <v>188</v>
      </c>
      <c r="F979" s="829">
        <v>0</v>
      </c>
      <c r="G979" s="924"/>
      <c r="H979" s="960" t="s">
        <v>557</v>
      </c>
      <c r="I979" s="923"/>
      <c r="J979" s="198" t="str">
        <f>IF(F979="","Belum Terisi",IF(AND(F978="ada",F979=0),"CEK",IF(AND(F978="Tidak Ada",F979&lt;&gt;0),"CEK","")))</f>
        <v/>
      </c>
      <c r="K979" s="31" t="str">
        <f>IF(J979="CEK",F978&amp;" Produk Unggulan Sereh","")</f>
        <v/>
      </c>
      <c r="L979" s="43"/>
      <c r="M979" s="21"/>
      <c r="N979" s="21"/>
      <c r="O979" s="21"/>
      <c r="P979" s="21"/>
      <c r="Q979" s="21"/>
      <c r="R979" s="21"/>
      <c r="S979" s="21"/>
      <c r="T979" s="21"/>
      <c r="U979" s="21"/>
      <c r="V979" s="21"/>
    </row>
    <row r="980" spans="1:22" s="2" customFormat="1" ht="30" customHeight="1" x14ac:dyDescent="0.25">
      <c r="A980" s="661">
        <f>A978+1</f>
        <v>292</v>
      </c>
      <c r="B980" s="382" t="s">
        <v>41</v>
      </c>
      <c r="C980" s="383" t="s">
        <v>2208</v>
      </c>
      <c r="D980" s="100">
        <f t="shared" si="61"/>
        <v>1382</v>
      </c>
      <c r="E980" s="427" t="s">
        <v>171</v>
      </c>
      <c r="F980" s="693" t="s">
        <v>263</v>
      </c>
      <c r="G980" s="924"/>
      <c r="H980" s="922"/>
      <c r="I980" s="923"/>
      <c r="J980" s="198" t="str">
        <f>IF(F980="","Belum Terisi",IF(OR(F980="ada",F980="Tidak Ada"),"","CEK"))</f>
        <v/>
      </c>
      <c r="K980" s="31" t="str">
        <f>IF(J980="CEK","Inputan Tidak Sesuai","")</f>
        <v/>
      </c>
      <c r="L980" s="43"/>
      <c r="M980" s="21"/>
      <c r="N980" s="21"/>
      <c r="O980" s="21"/>
      <c r="P980" s="21"/>
      <c r="Q980" s="21"/>
      <c r="R980" s="21"/>
      <c r="S980" s="21"/>
      <c r="T980" s="21"/>
      <c r="U980" s="21"/>
      <c r="V980" s="21"/>
    </row>
    <row r="981" spans="1:22" s="2" customFormat="1" ht="30" customHeight="1" x14ac:dyDescent="0.25">
      <c r="A981" s="663"/>
      <c r="B981" s="382" t="s">
        <v>139</v>
      </c>
      <c r="C981" s="383" t="s">
        <v>2216</v>
      </c>
      <c r="D981" s="100">
        <f t="shared" si="61"/>
        <v>1383</v>
      </c>
      <c r="E981" s="427" t="s">
        <v>174</v>
      </c>
      <c r="F981" s="694" t="s">
        <v>240</v>
      </c>
      <c r="G981" s="924"/>
      <c r="H981" s="922"/>
      <c r="I981" s="923"/>
      <c r="J981" s="198" t="str">
        <f>IF(F981="","Belum Terisi",IF(AND(F980="Tidak Ada",F981&lt;&gt;"-"),"CEK",IF(AND(F980="Ada",F981="-"),"CEK","")))</f>
        <v/>
      </c>
      <c r="K981" s="31" t="str">
        <f>IF(J981="CEK",F980&amp;" Terdapat Produk Unggulan Lainnya","")</f>
        <v/>
      </c>
      <c r="L981" s="43"/>
      <c r="M981" s="21"/>
      <c r="N981" s="21"/>
      <c r="O981" s="21"/>
      <c r="P981" s="21"/>
      <c r="Q981" s="21"/>
      <c r="R981" s="21"/>
      <c r="S981" s="21"/>
      <c r="T981" s="21"/>
      <c r="U981" s="21"/>
      <c r="V981" s="21"/>
    </row>
    <row r="982" spans="1:22" s="2" customFormat="1" ht="30" customHeight="1" x14ac:dyDescent="0.25">
      <c r="A982" s="664"/>
      <c r="B982" s="382" t="s">
        <v>251</v>
      </c>
      <c r="C982" s="383" t="s">
        <v>2219</v>
      </c>
      <c r="D982" s="100">
        <f t="shared" si="61"/>
        <v>1384</v>
      </c>
      <c r="E982" s="427" t="s">
        <v>188</v>
      </c>
      <c r="F982" s="829">
        <v>0</v>
      </c>
      <c r="G982" s="924"/>
      <c r="H982" s="960" t="s">
        <v>557</v>
      </c>
      <c r="I982" s="923"/>
      <c r="J982" s="198" t="str">
        <f>IF(F982="","Belum Terisi",IF(AND(F980="ada",F982=0),"CEK",IF(AND(F980="Tidak Ada",F982&lt;&gt;0),"CEK","")))</f>
        <v/>
      </c>
      <c r="K982" s="31" t="str">
        <f>IF(J982="CEK",F980&amp;" Produk Unggulan Tanaman Obat Lainnya","")</f>
        <v/>
      </c>
      <c r="L982" s="43"/>
      <c r="M982" s="21"/>
      <c r="N982" s="21"/>
      <c r="O982" s="21"/>
      <c r="P982" s="21"/>
      <c r="Q982" s="21"/>
      <c r="R982" s="21"/>
      <c r="S982" s="21"/>
      <c r="T982" s="21"/>
      <c r="U982" s="21"/>
      <c r="V982" s="21"/>
    </row>
    <row r="983" spans="1:22" s="27" customFormat="1" ht="30" customHeight="1" x14ac:dyDescent="0.25">
      <c r="A983" s="665">
        <f>A980+1</f>
        <v>293</v>
      </c>
      <c r="B983" s="384"/>
      <c r="C983" s="383" t="s">
        <v>106</v>
      </c>
      <c r="D983" s="100">
        <f t="shared" si="61"/>
        <v>1385</v>
      </c>
      <c r="E983" s="455" t="s">
        <v>171</v>
      </c>
      <c r="F983" s="686" t="s">
        <v>2831</v>
      </c>
      <c r="G983" s="924"/>
      <c r="H983" s="922"/>
      <c r="I983" s="923"/>
      <c r="J983" s="200" t="str">
        <f>IF(LEN(F983)&gt;0,"","Belum Terisi")</f>
        <v/>
      </c>
      <c r="K983" s="42"/>
      <c r="L983" s="44"/>
      <c r="M983" s="853"/>
      <c r="N983" s="853"/>
      <c r="O983" s="853"/>
      <c r="P983" s="853"/>
      <c r="Q983" s="853"/>
      <c r="R983" s="853"/>
      <c r="S983" s="853"/>
      <c r="T983" s="853"/>
      <c r="U983" s="853"/>
      <c r="V983" s="853"/>
    </row>
    <row r="984" spans="1:22" s="2" customFormat="1" ht="30" customHeight="1" x14ac:dyDescent="0.25">
      <c r="A984" s="613" t="s">
        <v>89</v>
      </c>
      <c r="B984" s="298"/>
      <c r="C984" s="298"/>
      <c r="D984" s="511"/>
      <c r="E984" s="429"/>
      <c r="F984" s="824"/>
      <c r="G984" s="924"/>
      <c r="H984" s="922"/>
      <c r="I984" s="923"/>
      <c r="J984" s="98"/>
      <c r="K984" s="31"/>
      <c r="L984" s="43"/>
      <c r="M984" s="21"/>
      <c r="N984" s="21"/>
      <c r="O984" s="21"/>
      <c r="P984" s="21"/>
      <c r="Q984" s="21"/>
      <c r="R984" s="21"/>
      <c r="S984" s="21"/>
      <c r="T984" s="21"/>
      <c r="U984" s="21"/>
      <c r="V984" s="21"/>
    </row>
    <row r="985" spans="1:22" s="2" customFormat="1" ht="30" customHeight="1" x14ac:dyDescent="0.25">
      <c r="A985" s="661">
        <f>A983+1</f>
        <v>294</v>
      </c>
      <c r="B985" s="382" t="s">
        <v>41</v>
      </c>
      <c r="C985" s="383" t="s">
        <v>2209</v>
      </c>
      <c r="D985" s="100">
        <f>D983+1</f>
        <v>1386</v>
      </c>
      <c r="E985" s="427" t="s">
        <v>171</v>
      </c>
      <c r="F985" s="693">
        <v>11</v>
      </c>
      <c r="G985" s="924"/>
      <c r="H985" s="922"/>
      <c r="I985" s="923"/>
      <c r="J985" s="198" t="str">
        <f>IF(LEN(F985)&gt;0,"","Belum Terisi")</f>
        <v/>
      </c>
      <c r="K985" s="31"/>
      <c r="L985" s="43"/>
      <c r="M985" s="21"/>
      <c r="N985" s="21"/>
      <c r="O985" s="21"/>
      <c r="P985" s="21"/>
      <c r="Q985" s="21"/>
      <c r="R985" s="21"/>
      <c r="S985" s="21"/>
      <c r="T985" s="21"/>
      <c r="U985" s="21"/>
      <c r="V985" s="21"/>
    </row>
    <row r="986" spans="1:22" s="2" customFormat="1" ht="30" customHeight="1" x14ac:dyDescent="0.25">
      <c r="A986" s="662"/>
      <c r="B986" s="382" t="s">
        <v>139</v>
      </c>
      <c r="C986" s="383" t="s">
        <v>2224</v>
      </c>
      <c r="D986" s="100">
        <f>D985+1</f>
        <v>1387</v>
      </c>
      <c r="E986" s="427" t="s">
        <v>62</v>
      </c>
      <c r="F986" s="717">
        <v>1</v>
      </c>
      <c r="G986" s="924"/>
      <c r="H986" s="922" t="s">
        <v>213</v>
      </c>
      <c r="I986" s="923"/>
      <c r="J986" s="198" t="str">
        <f>IF(F986="","Belum Terisi",IF(AND(F985&gt;0,F985&lt;12,F986=0),"CEK",IF(AND(F985=12,F986&lt;&gt;0),"CEK","")))</f>
        <v/>
      </c>
      <c r="K986" s="31" t="str">
        <f>IF(AND(J986="CEK",F985&gt;0,F985&lt;12,F986=0),"Terdapat Peralatan Teknologi Tepat Guna Pertanian di Desa",IF(AND(J986="CEK",F985=12,F986&lt;&gt;0),"Tidak Terdapat Peralatan Teknologi Tepat Guna Pertanian di Desa",""))</f>
        <v/>
      </c>
      <c r="L986" s="43"/>
      <c r="M986" s="21"/>
      <c r="N986" s="21"/>
      <c r="O986" s="21"/>
      <c r="P986" s="21"/>
      <c r="Q986" s="21"/>
      <c r="R986" s="21"/>
      <c r="S986" s="21"/>
      <c r="T986" s="21"/>
      <c r="U986" s="21"/>
      <c r="V986" s="21"/>
    </row>
    <row r="987" spans="1:22" s="2" customFormat="1" ht="30" customHeight="1" x14ac:dyDescent="0.25">
      <c r="A987" s="661">
        <f>A985+1</f>
        <v>295</v>
      </c>
      <c r="B987" s="382" t="s">
        <v>41</v>
      </c>
      <c r="C987" s="383" t="s">
        <v>2217</v>
      </c>
      <c r="D987" s="100">
        <f t="shared" ref="D987:D993" si="62">D986+1</f>
        <v>1388</v>
      </c>
      <c r="E987" s="427" t="s">
        <v>171</v>
      </c>
      <c r="F987" s="693">
        <v>12</v>
      </c>
      <c r="G987" s="924"/>
      <c r="H987" s="922"/>
      <c r="I987" s="923"/>
      <c r="J987" s="198" t="str">
        <f>IF(LEN(F987)&gt;0,"","Belum Terisi")</f>
        <v/>
      </c>
      <c r="K987" s="31"/>
      <c r="L987" s="31"/>
      <c r="M987" s="21"/>
      <c r="N987" s="21"/>
      <c r="O987" s="21"/>
      <c r="P987" s="21"/>
      <c r="Q987" s="21"/>
      <c r="R987" s="21"/>
      <c r="S987" s="21"/>
      <c r="T987" s="21"/>
      <c r="U987" s="21"/>
      <c r="V987" s="21"/>
    </row>
    <row r="988" spans="1:22" s="2" customFormat="1" ht="30" customHeight="1" x14ac:dyDescent="0.25">
      <c r="A988" s="662"/>
      <c r="B988" s="382" t="s">
        <v>139</v>
      </c>
      <c r="C988" s="383" t="s">
        <v>2225</v>
      </c>
      <c r="D988" s="100">
        <f t="shared" si="62"/>
        <v>1389</v>
      </c>
      <c r="E988" s="427" t="s">
        <v>62</v>
      </c>
      <c r="F988" s="717">
        <v>0</v>
      </c>
      <c r="G988" s="924"/>
      <c r="H988" s="922" t="s">
        <v>213</v>
      </c>
      <c r="I988" s="923"/>
      <c r="J988" s="198" t="str">
        <f>IF(F988="","Belum Terisi",IF(AND(F987&gt;0,F987&lt;12,F988=0),"CEK",IF(AND(F987=12,F988&lt;&gt;0),"CEK","")))</f>
        <v/>
      </c>
      <c r="K988" s="31" t="str">
        <f>IF(AND(J988="CEK",F987&gt;0,F987&lt;12,F988=0),"Terdapat Peralatan Teknologi Tepat Guna Peternakan di Desa",IF(AND(J988="CEK",F987=12,F988&lt;&gt;0),"Tidak Terdapat Peralatan Teknologi Tepat Guna Peternakan di Desa",""))</f>
        <v/>
      </c>
      <c r="L988" s="43"/>
      <c r="M988" s="21"/>
      <c r="N988" s="21"/>
      <c r="O988" s="21"/>
      <c r="P988" s="21"/>
      <c r="Q988" s="21"/>
      <c r="R988" s="21"/>
      <c r="S988" s="21"/>
      <c r="T988" s="21"/>
      <c r="U988" s="21"/>
      <c r="V988" s="21"/>
    </row>
    <row r="989" spans="1:22" s="2" customFormat="1" ht="30" customHeight="1" x14ac:dyDescent="0.25">
      <c r="A989" s="661">
        <f>A987+1</f>
        <v>296</v>
      </c>
      <c r="B989" s="382" t="s">
        <v>41</v>
      </c>
      <c r="C989" s="383" t="s">
        <v>2220</v>
      </c>
      <c r="D989" s="100">
        <f t="shared" si="62"/>
        <v>1390</v>
      </c>
      <c r="E989" s="427" t="s">
        <v>171</v>
      </c>
      <c r="F989" s="693">
        <v>12</v>
      </c>
      <c r="G989" s="924"/>
      <c r="H989" s="922"/>
      <c r="I989" s="923"/>
      <c r="J989" s="198" t="str">
        <f>IF(LEN(F989)&gt;0,"","Belum Terisi")</f>
        <v/>
      </c>
      <c r="K989" s="31"/>
      <c r="L989" s="43"/>
      <c r="M989" s="21"/>
      <c r="N989" s="21"/>
      <c r="O989" s="21"/>
      <c r="P989" s="21"/>
      <c r="Q989" s="21"/>
      <c r="R989" s="21"/>
      <c r="S989" s="21"/>
      <c r="T989" s="21"/>
      <c r="U989" s="21"/>
      <c r="V989" s="21"/>
    </row>
    <row r="990" spans="1:22" s="2" customFormat="1" ht="30" customHeight="1" x14ac:dyDescent="0.25">
      <c r="A990" s="662"/>
      <c r="B990" s="382" t="s">
        <v>139</v>
      </c>
      <c r="C990" s="383" t="s">
        <v>2226</v>
      </c>
      <c r="D990" s="100">
        <f t="shared" si="62"/>
        <v>1391</v>
      </c>
      <c r="E990" s="427" t="s">
        <v>62</v>
      </c>
      <c r="F990" s="697">
        <v>0</v>
      </c>
      <c r="G990" s="924"/>
      <c r="H990" s="922" t="s">
        <v>213</v>
      </c>
      <c r="I990" s="923"/>
      <c r="J990" s="198" t="str">
        <f>IF(F990="","Belum Terisi",IF(AND(F989&gt;0,F989&lt;12,F990=0),"CEK",IF(AND(F989=12,F990&lt;&gt;0),"CEK","")))</f>
        <v/>
      </c>
      <c r="K990" s="31" t="str">
        <f>IF(AND(J990="CEK",F989&gt;0,F989&lt;12,F990=0),"Terdapat Peralatan Teknologi Tepat Guna Perikanan di Desa",IF(AND(J990="CEK",F989=12,F990&lt;&gt;0),"Tidak Terdapat Peralatan Teknologi Tepat Guna Perikanan di Desa",""))</f>
        <v/>
      </c>
      <c r="L990" s="43"/>
      <c r="M990" s="21"/>
      <c r="N990" s="21"/>
      <c r="O990" s="21"/>
      <c r="P990" s="21"/>
      <c r="Q990" s="21"/>
      <c r="R990" s="21"/>
      <c r="S990" s="21"/>
      <c r="T990" s="21"/>
      <c r="U990" s="21"/>
      <c r="V990" s="21"/>
    </row>
    <row r="991" spans="1:22" s="2" customFormat="1" ht="40.15" customHeight="1" x14ac:dyDescent="0.25">
      <c r="A991" s="661">
        <f>A989+1</f>
        <v>297</v>
      </c>
      <c r="B991" s="382" t="s">
        <v>41</v>
      </c>
      <c r="C991" s="383" t="s">
        <v>2218</v>
      </c>
      <c r="D991" s="100">
        <f t="shared" si="62"/>
        <v>1392</v>
      </c>
      <c r="E991" s="463" t="s">
        <v>171</v>
      </c>
      <c r="F991" s="705" t="s">
        <v>285</v>
      </c>
      <c r="G991" s="924"/>
      <c r="H991" s="928"/>
      <c r="I991" s="923"/>
      <c r="J991" s="198" t="str">
        <f>IF(LEN(F991)&gt;0,"","Belum Terisi")</f>
        <v/>
      </c>
      <c r="K991" s="31"/>
      <c r="L991" s="43"/>
      <c r="M991" s="21"/>
      <c r="N991" s="21"/>
      <c r="O991" s="21"/>
      <c r="P991" s="21"/>
      <c r="Q991" s="21"/>
      <c r="R991" s="21"/>
      <c r="S991" s="21"/>
      <c r="T991" s="21"/>
      <c r="U991" s="21"/>
      <c r="V991" s="21" t="s">
        <v>636</v>
      </c>
    </row>
    <row r="992" spans="1:22" s="2" customFormat="1" ht="40.15" customHeight="1" x14ac:dyDescent="0.25">
      <c r="A992" s="663"/>
      <c r="B992" s="382" t="s">
        <v>139</v>
      </c>
      <c r="C992" s="383" t="s">
        <v>2221</v>
      </c>
      <c r="D992" s="100">
        <f t="shared" si="62"/>
        <v>1393</v>
      </c>
      <c r="E992" s="463" t="s">
        <v>171</v>
      </c>
      <c r="F992" s="706" t="s">
        <v>263</v>
      </c>
      <c r="G992" s="924"/>
      <c r="H992" s="928"/>
      <c r="I992" s="923"/>
      <c r="J992" s="198" t="str">
        <f>IF(LEN(F992)&gt;0,"","Belum Terisi")</f>
        <v/>
      </c>
      <c r="K992" s="31"/>
      <c r="L992" s="31"/>
      <c r="M992" s="21"/>
      <c r="N992" s="21"/>
      <c r="O992" s="21"/>
      <c r="P992" s="21"/>
      <c r="Q992" s="21"/>
      <c r="R992" s="21"/>
      <c r="S992" s="21"/>
      <c r="T992" s="21"/>
      <c r="U992" s="21"/>
      <c r="V992" s="21" t="s">
        <v>636</v>
      </c>
    </row>
    <row r="993" spans="1:22" s="2" customFormat="1" ht="40.15" customHeight="1" x14ac:dyDescent="0.25">
      <c r="A993" s="662"/>
      <c r="B993" s="382" t="s">
        <v>251</v>
      </c>
      <c r="C993" s="383" t="s">
        <v>2223</v>
      </c>
      <c r="D993" s="100">
        <f t="shared" si="62"/>
        <v>1394</v>
      </c>
      <c r="E993" s="463" t="s">
        <v>171</v>
      </c>
      <c r="F993" s="707" t="s">
        <v>263</v>
      </c>
      <c r="G993" s="924"/>
      <c r="H993" s="928"/>
      <c r="I993" s="923"/>
      <c r="J993" s="198" t="str">
        <f>IF(LEN(F993)&gt;0,"","Belum Terisi")</f>
        <v/>
      </c>
      <c r="K993" s="31"/>
      <c r="L993" s="43"/>
      <c r="M993" s="21"/>
      <c r="N993" s="21"/>
      <c r="O993" s="21"/>
      <c r="P993" s="21"/>
      <c r="Q993" s="21"/>
      <c r="R993" s="21"/>
      <c r="S993" s="21"/>
      <c r="T993" s="21"/>
      <c r="U993" s="21"/>
      <c r="V993" s="21" t="s">
        <v>636</v>
      </c>
    </row>
    <row r="994" spans="1:22" s="2" customFormat="1" ht="30" customHeight="1" x14ac:dyDescent="0.25">
      <c r="A994" s="613" t="s">
        <v>120</v>
      </c>
      <c r="B994" s="298"/>
      <c r="C994" s="298"/>
      <c r="D994" s="517"/>
      <c r="E994" s="429"/>
      <c r="F994" s="732"/>
      <c r="G994" s="924"/>
      <c r="H994" s="922"/>
      <c r="I994" s="923"/>
      <c r="J994" s="98"/>
      <c r="K994" s="31"/>
      <c r="L994" s="43"/>
      <c r="M994" s="21"/>
      <c r="N994" s="21"/>
      <c r="O994" s="21"/>
      <c r="P994" s="21"/>
      <c r="Q994" s="21"/>
      <c r="R994" s="21"/>
      <c r="S994" s="21"/>
      <c r="T994" s="21"/>
      <c r="U994" s="21"/>
      <c r="V994" s="21"/>
    </row>
    <row r="995" spans="1:22" s="2" customFormat="1" ht="30" customHeight="1" x14ac:dyDescent="0.25">
      <c r="A995" s="661">
        <f>A991+1</f>
        <v>298</v>
      </c>
      <c r="B995" s="382" t="s">
        <v>41</v>
      </c>
      <c r="C995" s="383" t="s">
        <v>2227</v>
      </c>
      <c r="D995" s="100">
        <f>D993+1</f>
        <v>1395</v>
      </c>
      <c r="E995" s="427" t="s">
        <v>171</v>
      </c>
      <c r="F995" s="699" t="s">
        <v>263</v>
      </c>
      <c r="G995" s="924"/>
      <c r="H995" s="923">
        <v>1</v>
      </c>
      <c r="I995" s="923"/>
      <c r="J995" s="198" t="str">
        <f>IF(LEN(F995)&gt;0,"","Belum Terisi")</f>
        <v/>
      </c>
      <c r="K995" s="31"/>
      <c r="L995" s="43"/>
      <c r="M995" s="21"/>
      <c r="N995" s="847" t="s">
        <v>668</v>
      </c>
      <c r="O995" s="21"/>
      <c r="P995" s="21"/>
      <c r="Q995" s="21"/>
      <c r="R995" s="21"/>
      <c r="S995" s="21"/>
      <c r="T995" s="21"/>
      <c r="U995" s="21"/>
      <c r="V995" s="21"/>
    </row>
    <row r="996" spans="1:22" s="2" customFormat="1" ht="30" customHeight="1" x14ac:dyDescent="0.25">
      <c r="A996" s="663"/>
      <c r="B996" s="382" t="s">
        <v>139</v>
      </c>
      <c r="C996" s="383" t="s">
        <v>2233</v>
      </c>
      <c r="D996" s="100">
        <f t="shared" ref="D996:D1003" si="63">D995+1</f>
        <v>1396</v>
      </c>
      <c r="E996" s="427" t="s">
        <v>171</v>
      </c>
      <c r="F996" s="699" t="s">
        <v>827</v>
      </c>
      <c r="G996" s="924"/>
      <c r="H996" s="923">
        <v>2</v>
      </c>
      <c r="I996" s="923"/>
      <c r="J996" s="198" t="str">
        <f>IF(LEN(F996)&gt;0,"","Belum Terisi")</f>
        <v/>
      </c>
      <c r="K996" s="31"/>
      <c r="L996" s="43"/>
      <c r="M996" s="21"/>
      <c r="N996" s="21" t="s">
        <v>668</v>
      </c>
      <c r="O996" s="21"/>
      <c r="P996" s="21"/>
      <c r="Q996" s="21"/>
      <c r="R996" s="21"/>
      <c r="S996" s="21"/>
      <c r="T996" s="21"/>
      <c r="U996" s="21"/>
      <c r="V996" s="21"/>
    </row>
    <row r="997" spans="1:22" s="2" customFormat="1" ht="30" customHeight="1" x14ac:dyDescent="0.25">
      <c r="A997" s="663"/>
      <c r="B997" s="382" t="s">
        <v>251</v>
      </c>
      <c r="C997" s="383" t="s">
        <v>2239</v>
      </c>
      <c r="D997" s="100">
        <f t="shared" si="63"/>
        <v>1397</v>
      </c>
      <c r="E997" s="427" t="s">
        <v>174</v>
      </c>
      <c r="F997" s="699" t="s">
        <v>240</v>
      </c>
      <c r="G997" s="924"/>
      <c r="H997" s="923">
        <v>3</v>
      </c>
      <c r="I997" s="923"/>
      <c r="J997" s="198" t="str">
        <f>IF(F997="","Belum Terisi",IF(AND($F$996="Aktif",F997="-"),"CEK",IF(AND(F996="Tidak Aktif",F997&lt;&gt;"-"),"CEK","")))</f>
        <v/>
      </c>
      <c r="K997" s="31" t="str">
        <f>IF(J997="CEK","Status BKAD "&amp;F996,"")</f>
        <v/>
      </c>
      <c r="L997" s="31"/>
      <c r="M997" s="21"/>
      <c r="N997" s="21" t="s">
        <v>668</v>
      </c>
      <c r="O997" s="21"/>
      <c r="P997" s="21"/>
      <c r="Q997" s="21"/>
      <c r="R997" s="21"/>
      <c r="S997" s="21"/>
      <c r="T997" s="21"/>
      <c r="U997" s="21"/>
      <c r="V997" s="21"/>
    </row>
    <row r="998" spans="1:22" s="2" customFormat="1" ht="30" customHeight="1" x14ac:dyDescent="0.25">
      <c r="A998" s="663"/>
      <c r="B998" s="382" t="s">
        <v>255</v>
      </c>
      <c r="C998" s="383" t="s">
        <v>2241</v>
      </c>
      <c r="D998" s="100">
        <f t="shared" si="63"/>
        <v>1398</v>
      </c>
      <c r="E998" s="427" t="s">
        <v>174</v>
      </c>
      <c r="F998" s="699" t="s">
        <v>240</v>
      </c>
      <c r="G998" s="924"/>
      <c r="H998" s="923">
        <v>4</v>
      </c>
      <c r="I998" s="923"/>
      <c r="J998" s="198" t="str">
        <f t="shared" ref="J998:J1000" si="64">IF(F998="","Belum Terisi",IF(AND($F$995="Tidak Ada",F998&lt;&gt;"-"),"CEK",""))</f>
        <v/>
      </c>
      <c r="K998" s="31" t="str">
        <f t="shared" ref="K998:K1000" si="65">IF(J998="CEK",F996&amp;" Kerjasama antar Desa dalam Satu Kecamatan","")</f>
        <v/>
      </c>
      <c r="L998" s="43"/>
      <c r="M998" s="21"/>
      <c r="N998" s="21" t="s">
        <v>668</v>
      </c>
      <c r="O998" s="21"/>
      <c r="P998" s="21"/>
      <c r="Q998" s="21"/>
      <c r="R998" s="21"/>
      <c r="S998" s="21"/>
      <c r="T998" s="21"/>
      <c r="U998" s="21"/>
      <c r="V998" s="21"/>
    </row>
    <row r="999" spans="1:22" s="2" customFormat="1" ht="30" customHeight="1" x14ac:dyDescent="0.25">
      <c r="A999" s="663"/>
      <c r="B999" s="382" t="s">
        <v>252</v>
      </c>
      <c r="C999" s="383" t="s">
        <v>2243</v>
      </c>
      <c r="D999" s="100">
        <f t="shared" si="63"/>
        <v>1399</v>
      </c>
      <c r="E999" s="427" t="s">
        <v>174</v>
      </c>
      <c r="F999" s="699" t="s">
        <v>240</v>
      </c>
      <c r="G999" s="924"/>
      <c r="H999" s="923">
        <v>5</v>
      </c>
      <c r="I999" s="923"/>
      <c r="J999" s="198" t="str">
        <f t="shared" si="64"/>
        <v/>
      </c>
      <c r="K999" s="31" t="str">
        <f t="shared" si="65"/>
        <v/>
      </c>
      <c r="L999" s="43"/>
      <c r="M999" s="21"/>
      <c r="N999" s="21" t="s">
        <v>668</v>
      </c>
      <c r="O999" s="21"/>
      <c r="P999" s="21"/>
      <c r="Q999" s="21"/>
      <c r="R999" s="21"/>
      <c r="S999" s="21"/>
      <c r="T999" s="21"/>
      <c r="U999" s="21"/>
      <c r="V999" s="21"/>
    </row>
    <row r="1000" spans="1:22" s="2" customFormat="1" ht="30" customHeight="1" x14ac:dyDescent="0.25">
      <c r="A1000" s="663"/>
      <c r="B1000" s="382" t="s">
        <v>253</v>
      </c>
      <c r="C1000" s="383" t="s">
        <v>2246</v>
      </c>
      <c r="D1000" s="100">
        <f t="shared" si="63"/>
        <v>1400</v>
      </c>
      <c r="E1000" s="427" t="s">
        <v>174</v>
      </c>
      <c r="F1000" s="699" t="s">
        <v>240</v>
      </c>
      <c r="G1000" s="924"/>
      <c r="H1000" s="923">
        <v>6</v>
      </c>
      <c r="I1000" s="923"/>
      <c r="J1000" s="198" t="str">
        <f t="shared" si="64"/>
        <v/>
      </c>
      <c r="K1000" s="31" t="str">
        <f t="shared" si="65"/>
        <v/>
      </c>
      <c r="L1000" s="43"/>
      <c r="M1000" s="21"/>
      <c r="N1000" s="21" t="s">
        <v>668</v>
      </c>
      <c r="O1000" s="21"/>
      <c r="P1000" s="21"/>
      <c r="Q1000" s="21"/>
      <c r="R1000" s="21"/>
      <c r="S1000" s="21"/>
      <c r="T1000" s="21"/>
      <c r="U1000" s="21"/>
      <c r="V1000" s="21"/>
    </row>
    <row r="1001" spans="1:22" s="2" customFormat="1" ht="30" customHeight="1" x14ac:dyDescent="0.25">
      <c r="A1001" s="663"/>
      <c r="B1001" s="382" t="s">
        <v>254</v>
      </c>
      <c r="C1001" s="383" t="s">
        <v>2248</v>
      </c>
      <c r="D1001" s="100">
        <f t="shared" si="63"/>
        <v>1401</v>
      </c>
      <c r="E1001" s="427" t="s">
        <v>121</v>
      </c>
      <c r="F1001" s="783">
        <v>0</v>
      </c>
      <c r="G1001" s="924"/>
      <c r="H1001" s="923">
        <v>7</v>
      </c>
      <c r="I1001" s="923"/>
      <c r="J1001" s="198" t="str">
        <f>IF(LEN(F1001)&gt;0,"","Belum Terisi")</f>
        <v/>
      </c>
      <c r="K1001" s="31"/>
      <c r="L1001" s="31"/>
      <c r="M1001" s="21"/>
      <c r="N1001" s="21" t="s">
        <v>668</v>
      </c>
      <c r="O1001" s="21"/>
      <c r="P1001" s="21"/>
      <c r="Q1001" s="21"/>
      <c r="R1001" s="21"/>
      <c r="S1001" s="21"/>
      <c r="T1001" s="21"/>
      <c r="U1001" s="21"/>
      <c r="V1001" s="21"/>
    </row>
    <row r="1002" spans="1:22" s="2" customFormat="1" ht="30" customHeight="1" x14ac:dyDescent="0.25">
      <c r="A1002" s="663"/>
      <c r="B1002" s="382" t="s">
        <v>256</v>
      </c>
      <c r="C1002" s="383" t="s">
        <v>2249</v>
      </c>
      <c r="D1002" s="100">
        <f t="shared" si="63"/>
        <v>1402</v>
      </c>
      <c r="E1002" s="427" t="s">
        <v>171</v>
      </c>
      <c r="F1002" s="699">
        <v>0</v>
      </c>
      <c r="G1002" s="924"/>
      <c r="H1002" s="922"/>
      <c r="I1002" s="923"/>
      <c r="J1002" s="198" t="str">
        <f>IF(F1002="","Belum Terisi",IF(AND(F995="Tidak Ada",F1002&lt;&gt;0),"CEK",""))</f>
        <v/>
      </c>
      <c r="K1002" s="31" t="str">
        <f>IF(J1002="CEK",$F$995&amp;" Kerjasama Antar Desa dalam Satu Kecamatan","")</f>
        <v/>
      </c>
      <c r="L1002" s="43"/>
      <c r="M1002" s="21"/>
      <c r="N1002" s="21" t="s">
        <v>668</v>
      </c>
      <c r="O1002" s="21"/>
      <c r="P1002" s="21"/>
      <c r="Q1002" s="21"/>
      <c r="R1002" s="21"/>
      <c r="S1002" s="21"/>
      <c r="T1002" s="21"/>
      <c r="U1002" s="21"/>
      <c r="V1002" s="21"/>
    </row>
    <row r="1003" spans="1:22" s="2" customFormat="1" ht="30" customHeight="1" x14ac:dyDescent="0.25">
      <c r="A1003" s="662"/>
      <c r="B1003" s="382" t="s">
        <v>259</v>
      </c>
      <c r="C1003" s="383" t="s">
        <v>2250</v>
      </c>
      <c r="D1003" s="100">
        <f t="shared" si="63"/>
        <v>1403</v>
      </c>
      <c r="E1003" s="427" t="s">
        <v>174</v>
      </c>
      <c r="F1003" s="699" t="s">
        <v>240</v>
      </c>
      <c r="G1003" s="924"/>
      <c r="H1003" s="922"/>
      <c r="I1003" s="923"/>
      <c r="J1003" s="198" t="str">
        <f>IF(LEN(F1003)&gt;0,"","Belum Terisi")</f>
        <v/>
      </c>
      <c r="K1003" s="31"/>
      <c r="L1003" s="43"/>
      <c r="M1003" s="21"/>
      <c r="N1003" s="21" t="s">
        <v>668</v>
      </c>
      <c r="O1003" s="21"/>
      <c r="P1003" s="21"/>
      <c r="Q1003" s="21"/>
      <c r="R1003" s="21"/>
      <c r="S1003" s="21"/>
      <c r="T1003" s="21"/>
      <c r="U1003" s="21"/>
      <c r="V1003" s="21"/>
    </row>
    <row r="1004" spans="1:22" s="2" customFormat="1" ht="30" customHeight="1" x14ac:dyDescent="0.25">
      <c r="A1004" s="613" t="s">
        <v>122</v>
      </c>
      <c r="B1004" s="298"/>
      <c r="C1004" s="298"/>
      <c r="D1004" s="518"/>
      <c r="E1004" s="429"/>
      <c r="F1004" s="732"/>
      <c r="G1004" s="924"/>
      <c r="H1004" s="922"/>
      <c r="I1004" s="923"/>
      <c r="J1004" s="98"/>
      <c r="K1004" s="31"/>
      <c r="L1004" s="43"/>
      <c r="M1004" s="21"/>
      <c r="N1004" s="21"/>
      <c r="O1004" s="21"/>
      <c r="P1004" s="21"/>
      <c r="Q1004" s="21"/>
      <c r="R1004" s="21"/>
      <c r="S1004" s="21"/>
      <c r="T1004" s="21"/>
      <c r="U1004" s="21"/>
      <c r="V1004" s="21"/>
    </row>
    <row r="1005" spans="1:22" s="2" customFormat="1" ht="30" customHeight="1" x14ac:dyDescent="0.25">
      <c r="A1005" s="661">
        <f>A995+1</f>
        <v>299</v>
      </c>
      <c r="B1005" s="382" t="s">
        <v>41</v>
      </c>
      <c r="C1005" s="383" t="s">
        <v>2228</v>
      </c>
      <c r="D1005" s="100">
        <f>D1003+1</f>
        <v>1404</v>
      </c>
      <c r="E1005" s="427" t="s">
        <v>171</v>
      </c>
      <c r="F1005" s="699" t="s">
        <v>263</v>
      </c>
      <c r="G1005" s="924"/>
      <c r="H1005" s="922"/>
      <c r="I1005" s="923"/>
      <c r="J1005" s="198" t="str">
        <f>IF(LEN(F1005)&gt;0,"","Belum Terisi")</f>
        <v/>
      </c>
      <c r="K1005" s="31"/>
      <c r="L1005" s="31"/>
      <c r="M1005" s="21"/>
      <c r="N1005" s="21" t="s">
        <v>668</v>
      </c>
      <c r="O1005" s="21"/>
      <c r="P1005" s="21"/>
      <c r="Q1005" s="21"/>
      <c r="R1005" s="21"/>
      <c r="S1005" s="21"/>
      <c r="T1005" s="21"/>
      <c r="U1005" s="21"/>
      <c r="V1005" s="21"/>
    </row>
    <row r="1006" spans="1:22" s="2" customFormat="1" ht="30" customHeight="1" x14ac:dyDescent="0.25">
      <c r="A1006" s="663"/>
      <c r="B1006" s="382" t="s">
        <v>139</v>
      </c>
      <c r="C1006" s="383" t="s">
        <v>2234</v>
      </c>
      <c r="D1006" s="100">
        <f t="shared" ref="D1006:D1013" si="66">D1005+1</f>
        <v>1405</v>
      </c>
      <c r="E1006" s="427" t="s">
        <v>171</v>
      </c>
      <c r="F1006" s="699" t="s">
        <v>827</v>
      </c>
      <c r="G1006" s="924"/>
      <c r="H1006" s="922"/>
      <c r="I1006" s="923"/>
      <c r="J1006" s="198" t="str">
        <f>IF(F1006="","Belum Terisi",IF(AND(F1005="Tidak Ada",F1006="Aktif"),"CEK",""))</f>
        <v/>
      </c>
      <c r="K1006" s="31" t="str">
        <f>IF(J1006="CEK",$F$1005&amp;" Kerjasama Antar Desa dalam Satu Kecamatan","")</f>
        <v/>
      </c>
      <c r="L1006" s="43"/>
      <c r="M1006" s="21"/>
      <c r="N1006" s="21" t="s">
        <v>668</v>
      </c>
      <c r="O1006" s="21"/>
      <c r="P1006" s="21"/>
      <c r="Q1006" s="21"/>
      <c r="R1006" s="21"/>
      <c r="S1006" s="21"/>
      <c r="T1006" s="21"/>
      <c r="U1006" s="21"/>
      <c r="V1006" s="21"/>
    </row>
    <row r="1007" spans="1:22" s="2" customFormat="1" ht="30" customHeight="1" x14ac:dyDescent="0.25">
      <c r="A1007" s="663"/>
      <c r="B1007" s="382" t="s">
        <v>251</v>
      </c>
      <c r="C1007" s="383" t="s">
        <v>2239</v>
      </c>
      <c r="D1007" s="100">
        <f t="shared" si="66"/>
        <v>1406</v>
      </c>
      <c r="E1007" s="427" t="s">
        <v>174</v>
      </c>
      <c r="F1007" s="699" t="s">
        <v>240</v>
      </c>
      <c r="G1007" s="924"/>
      <c r="H1007" s="922"/>
      <c r="I1007" s="923"/>
      <c r="J1007" s="198" t="str">
        <f>IF(LEN(F1007)&gt;0,"","Belum Terisi")</f>
        <v/>
      </c>
      <c r="K1007" s="31"/>
      <c r="L1007" s="43"/>
      <c r="M1007" s="21"/>
      <c r="N1007" s="21" t="s">
        <v>668</v>
      </c>
      <c r="O1007" s="21"/>
      <c r="P1007" s="21"/>
      <c r="Q1007" s="21"/>
      <c r="R1007" s="21"/>
      <c r="S1007" s="21"/>
      <c r="T1007" s="21"/>
      <c r="U1007" s="21"/>
      <c r="V1007" s="21"/>
    </row>
    <row r="1008" spans="1:22" s="2" customFormat="1" ht="30" customHeight="1" x14ac:dyDescent="0.25">
      <c r="A1008" s="663"/>
      <c r="B1008" s="382" t="s">
        <v>255</v>
      </c>
      <c r="C1008" s="383" t="s">
        <v>2241</v>
      </c>
      <c r="D1008" s="100">
        <f t="shared" si="66"/>
        <v>1407</v>
      </c>
      <c r="E1008" s="427" t="s">
        <v>174</v>
      </c>
      <c r="F1008" s="699" t="s">
        <v>240</v>
      </c>
      <c r="G1008" s="924"/>
      <c r="H1008" s="922"/>
      <c r="I1008" s="923"/>
      <c r="J1008" s="198" t="str">
        <f>IF(LEN(F1008)&gt;0,"","Belum Terisi")</f>
        <v/>
      </c>
      <c r="K1008" s="31"/>
      <c r="L1008" s="43"/>
      <c r="M1008" s="21"/>
      <c r="N1008" s="21" t="s">
        <v>668</v>
      </c>
      <c r="O1008" s="21"/>
      <c r="P1008" s="21"/>
      <c r="Q1008" s="21"/>
      <c r="R1008" s="21"/>
      <c r="S1008" s="21"/>
      <c r="T1008" s="21"/>
      <c r="U1008" s="21"/>
      <c r="V1008" s="21"/>
    </row>
    <row r="1009" spans="1:22" s="2" customFormat="1" ht="30" customHeight="1" x14ac:dyDescent="0.25">
      <c r="A1009" s="663"/>
      <c r="B1009" s="382" t="s">
        <v>252</v>
      </c>
      <c r="C1009" s="383" t="s">
        <v>2243</v>
      </c>
      <c r="D1009" s="100">
        <f t="shared" si="66"/>
        <v>1408</v>
      </c>
      <c r="E1009" s="427" t="s">
        <v>174</v>
      </c>
      <c r="F1009" s="699" t="s">
        <v>240</v>
      </c>
      <c r="G1009" s="924"/>
      <c r="H1009" s="922"/>
      <c r="I1009" s="923"/>
      <c r="J1009" s="198" t="str">
        <f>IF(LEN(F1009)&gt;0,"","Belum Terisi")</f>
        <v/>
      </c>
      <c r="K1009" s="31"/>
      <c r="L1009" s="31"/>
      <c r="M1009" s="21"/>
      <c r="N1009" s="21" t="s">
        <v>668</v>
      </c>
      <c r="O1009" s="21"/>
      <c r="P1009" s="21"/>
      <c r="Q1009" s="21"/>
      <c r="R1009" s="21"/>
      <c r="S1009" s="21"/>
      <c r="T1009" s="21"/>
      <c r="U1009" s="21"/>
      <c r="V1009" s="21"/>
    </row>
    <row r="1010" spans="1:22" s="2" customFormat="1" ht="30" customHeight="1" x14ac:dyDescent="0.25">
      <c r="A1010" s="663"/>
      <c r="B1010" s="382" t="s">
        <v>253</v>
      </c>
      <c r="C1010" s="383" t="s">
        <v>2246</v>
      </c>
      <c r="D1010" s="100">
        <f t="shared" si="66"/>
        <v>1409</v>
      </c>
      <c r="E1010" s="427" t="s">
        <v>174</v>
      </c>
      <c r="F1010" s="699" t="s">
        <v>240</v>
      </c>
      <c r="G1010" s="924"/>
      <c r="H1010" s="922"/>
      <c r="I1010" s="923"/>
      <c r="J1010" s="198" t="str">
        <f>IF(LEN(F1010)&gt;0,"","Belum Terisi")</f>
        <v/>
      </c>
      <c r="K1010" s="31"/>
      <c r="L1010" s="43"/>
      <c r="M1010" s="21"/>
      <c r="N1010" s="21" t="s">
        <v>668</v>
      </c>
      <c r="O1010" s="21"/>
      <c r="P1010" s="21"/>
      <c r="Q1010" s="21"/>
      <c r="R1010" s="21"/>
      <c r="S1010" s="21"/>
      <c r="T1010" s="21"/>
      <c r="U1010" s="21"/>
      <c r="V1010" s="21"/>
    </row>
    <row r="1011" spans="1:22" s="2" customFormat="1" ht="30" customHeight="1" x14ac:dyDescent="0.25">
      <c r="A1011" s="663"/>
      <c r="B1011" s="382" t="s">
        <v>254</v>
      </c>
      <c r="C1011" s="383" t="s">
        <v>2248</v>
      </c>
      <c r="D1011" s="100">
        <f t="shared" si="66"/>
        <v>1410</v>
      </c>
      <c r="E1011" s="427" t="s">
        <v>121</v>
      </c>
      <c r="F1011" s="783">
        <v>0</v>
      </c>
      <c r="G1011" s="924"/>
      <c r="H1011" s="922"/>
      <c r="I1011" s="923"/>
      <c r="J1011" s="198" t="str">
        <f>IF(LEN(F1011)&gt;0,"","Belum Terisi")</f>
        <v/>
      </c>
      <c r="K1011" s="31"/>
      <c r="L1011" s="43"/>
      <c r="M1011" s="21"/>
      <c r="N1011" s="21" t="s">
        <v>668</v>
      </c>
      <c r="O1011" s="21"/>
      <c r="P1011" s="21"/>
      <c r="Q1011" s="21"/>
      <c r="R1011" s="21"/>
      <c r="S1011" s="21"/>
      <c r="T1011" s="21"/>
      <c r="U1011" s="21"/>
      <c r="V1011" s="21"/>
    </row>
    <row r="1012" spans="1:22" s="2" customFormat="1" ht="30" customHeight="1" x14ac:dyDescent="0.25">
      <c r="A1012" s="663"/>
      <c r="B1012" s="382" t="s">
        <v>256</v>
      </c>
      <c r="C1012" s="383" t="s">
        <v>2249</v>
      </c>
      <c r="D1012" s="100">
        <f t="shared" si="66"/>
        <v>1411</v>
      </c>
      <c r="E1012" s="427" t="s">
        <v>171</v>
      </c>
      <c r="F1012" s="699">
        <v>0</v>
      </c>
      <c r="G1012" s="924"/>
      <c r="H1012" s="922"/>
      <c r="I1012" s="923"/>
      <c r="J1012" s="198" t="str">
        <f>IF(F1012="","Belum Terisi",IF(AND(F1005="Tidak Ada",F1012&lt;&gt;0),"CEK",""))</f>
        <v/>
      </c>
      <c r="K1012" s="31" t="str">
        <f>IF(J1012="CEK",$F$1005&amp;" Kerjasama Antar Desa dalam Satu Kecamatan","")</f>
        <v/>
      </c>
      <c r="L1012" s="43"/>
      <c r="M1012" s="21"/>
      <c r="N1012" s="21" t="s">
        <v>668</v>
      </c>
      <c r="O1012" s="21"/>
      <c r="P1012" s="21"/>
      <c r="Q1012" s="21"/>
      <c r="R1012" s="21"/>
      <c r="S1012" s="21"/>
      <c r="T1012" s="21"/>
      <c r="U1012" s="21"/>
      <c r="V1012" s="21"/>
    </row>
    <row r="1013" spans="1:22" s="2" customFormat="1" ht="30" customHeight="1" x14ac:dyDescent="0.25">
      <c r="A1013" s="662"/>
      <c r="B1013" s="382" t="s">
        <v>257</v>
      </c>
      <c r="C1013" s="383" t="s">
        <v>2250</v>
      </c>
      <c r="D1013" s="100">
        <f t="shared" si="66"/>
        <v>1412</v>
      </c>
      <c r="E1013" s="427" t="s">
        <v>174</v>
      </c>
      <c r="F1013" s="699" t="s">
        <v>240</v>
      </c>
      <c r="G1013" s="924"/>
      <c r="H1013" s="922"/>
      <c r="I1013" s="923"/>
      <c r="J1013" s="198" t="str">
        <f>IF(LEN(F1013)&gt;0,"","Belum Terisi")</f>
        <v/>
      </c>
      <c r="K1013" s="31"/>
      <c r="L1013" s="31"/>
      <c r="M1013" s="21"/>
      <c r="N1013" s="21" t="s">
        <v>668</v>
      </c>
      <c r="O1013" s="21"/>
      <c r="P1013" s="21"/>
      <c r="Q1013" s="21"/>
      <c r="R1013" s="21"/>
      <c r="S1013" s="21"/>
      <c r="T1013" s="21"/>
      <c r="U1013" s="21"/>
      <c r="V1013" s="21"/>
    </row>
    <row r="1014" spans="1:22" s="2" customFormat="1" ht="30" customHeight="1" x14ac:dyDescent="0.25">
      <c r="A1014" s="613" t="s">
        <v>123</v>
      </c>
      <c r="B1014" s="298"/>
      <c r="C1014" s="298"/>
      <c r="D1014" s="518"/>
      <c r="E1014" s="429"/>
      <c r="F1014" s="714"/>
      <c r="G1014" s="924"/>
      <c r="H1014" s="922"/>
      <c r="I1014" s="923"/>
      <c r="J1014" s="98"/>
      <c r="K1014" s="31"/>
      <c r="L1014" s="43"/>
      <c r="M1014" s="21"/>
      <c r="N1014" s="21"/>
      <c r="O1014" s="21"/>
      <c r="P1014" s="21"/>
      <c r="Q1014" s="21"/>
      <c r="R1014" s="21"/>
      <c r="S1014" s="21"/>
      <c r="T1014" s="21"/>
      <c r="U1014" s="21"/>
      <c r="V1014" s="21"/>
    </row>
    <row r="1015" spans="1:22" s="2" customFormat="1" ht="30" customHeight="1" x14ac:dyDescent="0.25">
      <c r="A1015" s="661">
        <f>A1005+1</f>
        <v>300</v>
      </c>
      <c r="B1015" s="382" t="s">
        <v>41</v>
      </c>
      <c r="C1015" s="383" t="s">
        <v>2229</v>
      </c>
      <c r="D1015" s="100">
        <f>D1013+1</f>
        <v>1413</v>
      </c>
      <c r="E1015" s="427" t="s">
        <v>171</v>
      </c>
      <c r="F1015" s="693" t="s">
        <v>263</v>
      </c>
      <c r="G1015" s="924"/>
      <c r="H1015" s="922"/>
      <c r="I1015" s="923"/>
      <c r="J1015" s="198" t="str">
        <f>IF(LEN(F1015)&gt;0,"","Belum Terisi")</f>
        <v/>
      </c>
      <c r="K1015" s="31"/>
      <c r="L1015" s="43"/>
      <c r="M1015" s="21"/>
      <c r="N1015" s="847" t="s">
        <v>668</v>
      </c>
      <c r="O1015" s="21"/>
      <c r="P1015" s="21"/>
      <c r="Q1015" s="21"/>
      <c r="R1015" s="21"/>
      <c r="S1015" s="21"/>
      <c r="T1015" s="21"/>
      <c r="U1015" s="21"/>
      <c r="V1015" s="21"/>
    </row>
    <row r="1016" spans="1:22" s="2" customFormat="1" ht="30" customHeight="1" x14ac:dyDescent="0.25">
      <c r="A1016" s="663"/>
      <c r="B1016" s="382" t="s">
        <v>139</v>
      </c>
      <c r="C1016" s="383" t="s">
        <v>2235</v>
      </c>
      <c r="D1016" s="100">
        <f t="shared" ref="D1016:D1029" si="67">D1015+1</f>
        <v>1414</v>
      </c>
      <c r="E1016" s="427" t="s">
        <v>171</v>
      </c>
      <c r="F1016" s="694" t="s">
        <v>263</v>
      </c>
      <c r="G1016" s="924"/>
      <c r="H1016" s="922"/>
      <c r="I1016" s="923"/>
      <c r="J1016" s="198" t="str">
        <f>IF(F1016="","Belum Terisi",IF(AND($F$1015="Ada",COUNTIF($F$1016:$F$1019,"Tidak Ada")=4,$F$1020="-"),"CEK",IF(AND($F$1015="Tidak Ada",F1016="Ada"),"CEK","")))</f>
        <v/>
      </c>
      <c r="K1016" s="31" t="str">
        <f>IF(J1016="CEK",$F$1015&amp;" Kerjsama Desa/ Bumdesa dengan Pihak Ketiga","")</f>
        <v/>
      </c>
      <c r="L1016" s="43"/>
      <c r="M1016" s="21"/>
      <c r="N1016" s="21" t="s">
        <v>668</v>
      </c>
      <c r="O1016" s="21"/>
      <c r="P1016" s="21"/>
      <c r="Q1016" s="21"/>
      <c r="R1016" s="21"/>
      <c r="S1016" s="21"/>
      <c r="T1016" s="21"/>
      <c r="U1016" s="21"/>
      <c r="V1016" s="21"/>
    </row>
    <row r="1017" spans="1:22" s="2" customFormat="1" ht="30" customHeight="1" x14ac:dyDescent="0.25">
      <c r="A1017" s="663"/>
      <c r="B1017" s="382" t="s">
        <v>251</v>
      </c>
      <c r="C1017" s="383" t="s">
        <v>2240</v>
      </c>
      <c r="D1017" s="100">
        <f t="shared" si="67"/>
        <v>1415</v>
      </c>
      <c r="E1017" s="427" t="s">
        <v>171</v>
      </c>
      <c r="F1017" s="694" t="s">
        <v>263</v>
      </c>
      <c r="G1017" s="924"/>
      <c r="H1017" s="922"/>
      <c r="I1017" s="923"/>
      <c r="J1017" s="198" t="str">
        <f>IF(F1017="","Belum Terisi",IF(AND($F$1015="Ada",COUNTIF($F$1016:$F$1019,"Tidak Ada")=4,$F$1020="-"),"CEK",IF(AND($F$1015="Tidak Ada",F1017="Ada"),"CEK","")))</f>
        <v/>
      </c>
      <c r="K1017" s="31" t="str">
        <f>IF(J1017="CEK",$F$1015&amp;" Kerjsama Desa/ Bumdesa dengan Pihak Ketiga","")</f>
        <v/>
      </c>
      <c r="L1017" s="31"/>
      <c r="M1017" s="21"/>
      <c r="N1017" s="21" t="s">
        <v>668</v>
      </c>
      <c r="O1017" s="21"/>
      <c r="P1017" s="21"/>
      <c r="Q1017" s="21"/>
      <c r="R1017" s="21"/>
      <c r="S1017" s="21"/>
      <c r="T1017" s="21"/>
      <c r="U1017" s="21"/>
      <c r="V1017" s="21"/>
    </row>
    <row r="1018" spans="1:22" s="2" customFormat="1" ht="30" customHeight="1" x14ac:dyDescent="0.25">
      <c r="A1018" s="663"/>
      <c r="B1018" s="382" t="s">
        <v>255</v>
      </c>
      <c r="C1018" s="383" t="s">
        <v>2242</v>
      </c>
      <c r="D1018" s="100">
        <f t="shared" si="67"/>
        <v>1416</v>
      </c>
      <c r="E1018" s="427" t="s">
        <v>171</v>
      </c>
      <c r="F1018" s="694" t="s">
        <v>263</v>
      </c>
      <c r="G1018" s="924"/>
      <c r="H1018" s="922"/>
      <c r="I1018" s="923"/>
      <c r="J1018" s="198" t="str">
        <f>IF(F1018="","Belum Terisi",IF(AND($F$1015="Ada",COUNTIF($F$1016:$F$1019,"Tidak Ada")=4,$F$1020="-"),"CEK",IF(AND($F$1015="Tidak Ada",F1018="Ada"),"CEK","")))</f>
        <v/>
      </c>
      <c r="K1018" s="31" t="str">
        <f>IF(J1018="CEK",$F$1015&amp;" Kerjsama Desa/ Bumdesa dengan Pihak Ketiga","")</f>
        <v/>
      </c>
      <c r="L1018" s="43"/>
      <c r="M1018" s="21"/>
      <c r="N1018" s="21" t="s">
        <v>668</v>
      </c>
      <c r="O1018" s="21"/>
      <c r="P1018" s="21"/>
      <c r="Q1018" s="21"/>
      <c r="R1018" s="21"/>
      <c r="S1018" s="21"/>
      <c r="T1018" s="21"/>
      <c r="U1018" s="21"/>
      <c r="V1018" s="21"/>
    </row>
    <row r="1019" spans="1:22" s="2" customFormat="1" ht="30" customHeight="1" x14ac:dyDescent="0.25">
      <c r="A1019" s="663"/>
      <c r="B1019" s="382" t="s">
        <v>252</v>
      </c>
      <c r="C1019" s="383" t="s">
        <v>2244</v>
      </c>
      <c r="D1019" s="100">
        <f t="shared" si="67"/>
        <v>1417</v>
      </c>
      <c r="E1019" s="427" t="s">
        <v>171</v>
      </c>
      <c r="F1019" s="694" t="s">
        <v>263</v>
      </c>
      <c r="G1019" s="924"/>
      <c r="H1019" s="922"/>
      <c r="I1019" s="923"/>
      <c r="J1019" s="198" t="str">
        <f>IF(F1019="","Belum Terisi",IF(AND($F$1015="Ada",COUNTIF($F$1016:$F$1019,"Tidak Ada")=4,$F$1020="-"),"CEK",IF(AND($F$1015="Tidak Ada",F1019="Ada"),"CEK","")))</f>
        <v/>
      </c>
      <c r="K1019" s="31" t="str">
        <f>IF(J1019="CEK",$F$1015&amp;" Kerjsama Desa/ Bumdesa dengan Pihak Ketiga","")</f>
        <v/>
      </c>
      <c r="L1019" s="43"/>
      <c r="M1019" s="21"/>
      <c r="N1019" s="21" t="s">
        <v>668</v>
      </c>
      <c r="O1019" s="21"/>
      <c r="P1019" s="21"/>
      <c r="Q1019" s="21"/>
      <c r="R1019" s="21"/>
      <c r="S1019" s="21"/>
      <c r="T1019" s="21"/>
      <c r="U1019" s="21"/>
      <c r="V1019" s="21"/>
    </row>
    <row r="1020" spans="1:22" s="2" customFormat="1" ht="30" customHeight="1" x14ac:dyDescent="0.25">
      <c r="A1020" s="662"/>
      <c r="B1020" s="382" t="s">
        <v>253</v>
      </c>
      <c r="C1020" s="383" t="s">
        <v>2247</v>
      </c>
      <c r="D1020" s="100">
        <f t="shared" si="67"/>
        <v>1418</v>
      </c>
      <c r="E1020" s="427" t="s">
        <v>174</v>
      </c>
      <c r="F1020" s="697" t="s">
        <v>240</v>
      </c>
      <c r="G1020" s="924"/>
      <c r="H1020" s="922"/>
      <c r="I1020" s="923"/>
      <c r="J1020" s="198" t="str">
        <f>IF(F1020="","Belum Terisi",IF(AND($F$1015="Ada",COUNTIF($F$1016:$F$1019,"Tidak Ada")=4,$F$1020="-"),"CEK",IF(AND($F$1015="Tidak Ada",F1020="Ada"),"CEK","")))</f>
        <v/>
      </c>
      <c r="K1020" s="31" t="str">
        <f>IF(J1020="CEK",$F$1015&amp;" Kerjsama Desa/ Bumdesa dengan Pihak Ketiga","")</f>
        <v/>
      </c>
      <c r="L1020" s="43"/>
      <c r="M1020" s="21"/>
      <c r="N1020" s="21" t="s">
        <v>668</v>
      </c>
      <c r="O1020" s="21"/>
      <c r="P1020" s="21"/>
      <c r="Q1020" s="21"/>
      <c r="R1020" s="21"/>
      <c r="S1020" s="21"/>
      <c r="T1020" s="21"/>
      <c r="U1020" s="21"/>
      <c r="V1020" s="21"/>
    </row>
    <row r="1021" spans="1:22" s="2" customFormat="1" ht="30" customHeight="1" x14ac:dyDescent="0.25">
      <c r="A1021" s="665">
        <f>A1015+1</f>
        <v>301</v>
      </c>
      <c r="B1021" s="384"/>
      <c r="C1021" s="383" t="s">
        <v>124</v>
      </c>
      <c r="D1021" s="100">
        <f t="shared" si="67"/>
        <v>1419</v>
      </c>
      <c r="E1021" s="427" t="s">
        <v>174</v>
      </c>
      <c r="F1021" s="699" t="s">
        <v>240</v>
      </c>
      <c r="G1021" s="924"/>
      <c r="H1021" s="922"/>
      <c r="I1021" s="923"/>
      <c r="J1021" s="198" t="str">
        <f t="shared" ref="J1021:J1029" si="68">IF(LEN(F1021)&gt;0,"","Belum Terisi")</f>
        <v/>
      </c>
      <c r="K1021" s="31"/>
      <c r="L1021" s="31"/>
      <c r="M1021" s="21"/>
      <c r="N1021" s="21" t="s">
        <v>668</v>
      </c>
      <c r="O1021" s="21"/>
      <c r="P1021" s="21"/>
      <c r="Q1021" s="21"/>
      <c r="R1021" s="21"/>
      <c r="S1021" s="21"/>
      <c r="T1021" s="21"/>
      <c r="U1021" s="21"/>
      <c r="V1021" s="21"/>
    </row>
    <row r="1022" spans="1:22" s="2" customFormat="1" ht="30" customHeight="1" x14ac:dyDescent="0.25">
      <c r="A1022" s="661">
        <f>A1021+1</f>
        <v>302</v>
      </c>
      <c r="B1022" s="382" t="s">
        <v>41</v>
      </c>
      <c r="C1022" s="383" t="s">
        <v>2230</v>
      </c>
      <c r="D1022" s="100">
        <f t="shared" si="67"/>
        <v>1420</v>
      </c>
      <c r="E1022" s="427" t="s">
        <v>171</v>
      </c>
      <c r="F1022" s="693">
        <v>0</v>
      </c>
      <c r="G1022" s="924"/>
      <c r="H1022" s="922"/>
      <c r="I1022" s="923"/>
      <c r="J1022" s="198" t="str">
        <f t="shared" si="68"/>
        <v/>
      </c>
      <c r="K1022" s="31"/>
      <c r="L1022" s="43"/>
      <c r="M1022" s="21"/>
      <c r="N1022" s="21" t="s">
        <v>668</v>
      </c>
      <c r="O1022" s="21"/>
      <c r="P1022" s="21"/>
      <c r="Q1022" s="21"/>
      <c r="R1022" s="21"/>
      <c r="S1022" s="21"/>
      <c r="T1022" s="21"/>
      <c r="U1022" s="21"/>
      <c r="V1022" s="21"/>
    </row>
    <row r="1023" spans="1:22" s="2" customFormat="1" ht="30" customHeight="1" x14ac:dyDescent="0.25">
      <c r="A1023" s="662"/>
      <c r="B1023" s="382" t="s">
        <v>139</v>
      </c>
      <c r="C1023" s="383" t="s">
        <v>2236</v>
      </c>
      <c r="D1023" s="100">
        <f t="shared" si="67"/>
        <v>1421</v>
      </c>
      <c r="E1023" s="427" t="s">
        <v>174</v>
      </c>
      <c r="F1023" s="697" t="s">
        <v>240</v>
      </c>
      <c r="G1023" s="924"/>
      <c r="H1023" s="922"/>
      <c r="I1023" s="923"/>
      <c r="J1023" s="198" t="str">
        <f t="shared" si="68"/>
        <v/>
      </c>
      <c r="K1023" s="31"/>
      <c r="L1023" s="43"/>
      <c r="M1023" s="21"/>
      <c r="N1023" s="21" t="s">
        <v>668</v>
      </c>
      <c r="O1023" s="21"/>
      <c r="P1023" s="21"/>
      <c r="Q1023" s="21"/>
      <c r="R1023" s="21"/>
      <c r="S1023" s="21"/>
      <c r="T1023" s="21"/>
      <c r="U1023" s="21"/>
      <c r="V1023" s="21"/>
    </row>
    <row r="1024" spans="1:22" s="2" customFormat="1" ht="30" customHeight="1" x14ac:dyDescent="0.25">
      <c r="A1024" s="661">
        <f>A1022+1</f>
        <v>303</v>
      </c>
      <c r="B1024" s="382" t="s">
        <v>41</v>
      </c>
      <c r="C1024" s="383" t="s">
        <v>125</v>
      </c>
      <c r="D1024" s="100">
        <f t="shared" si="67"/>
        <v>1422</v>
      </c>
      <c r="E1024" s="427" t="s">
        <v>171</v>
      </c>
      <c r="F1024" s="699" t="s">
        <v>263</v>
      </c>
      <c r="G1024" s="924"/>
      <c r="H1024" s="922"/>
      <c r="I1024" s="923"/>
      <c r="J1024" s="198" t="str">
        <f t="shared" si="68"/>
        <v/>
      </c>
      <c r="K1024" s="31"/>
      <c r="L1024" s="43"/>
      <c r="M1024" s="21"/>
      <c r="N1024" s="21" t="s">
        <v>668</v>
      </c>
      <c r="O1024" s="21"/>
      <c r="P1024" s="21"/>
      <c r="Q1024" s="21"/>
      <c r="R1024" s="21"/>
      <c r="S1024" s="21"/>
      <c r="T1024" s="21"/>
      <c r="U1024" s="21"/>
      <c r="V1024" s="21"/>
    </row>
    <row r="1025" spans="1:22" s="2" customFormat="1" ht="30" customHeight="1" x14ac:dyDescent="0.25">
      <c r="A1025" s="663"/>
      <c r="B1025" s="382" t="s">
        <v>139</v>
      </c>
      <c r="C1025" s="383" t="s">
        <v>126</v>
      </c>
      <c r="D1025" s="100">
        <f t="shared" si="67"/>
        <v>1423</v>
      </c>
      <c r="E1025" s="427" t="s">
        <v>174</v>
      </c>
      <c r="F1025" s="693" t="s">
        <v>240</v>
      </c>
      <c r="G1025" s="924"/>
      <c r="H1025" s="922"/>
      <c r="I1025" s="923"/>
      <c r="J1025" s="198" t="str">
        <f t="shared" si="68"/>
        <v/>
      </c>
      <c r="K1025" s="31"/>
      <c r="L1025" s="31"/>
      <c r="M1025" s="21"/>
      <c r="N1025" s="21" t="s">
        <v>668</v>
      </c>
      <c r="O1025" s="21"/>
      <c r="P1025" s="21"/>
      <c r="Q1025" s="21"/>
      <c r="R1025" s="21"/>
      <c r="S1025" s="21"/>
      <c r="T1025" s="21"/>
      <c r="U1025" s="21"/>
      <c r="V1025" s="21"/>
    </row>
    <row r="1026" spans="1:22" s="2" customFormat="1" ht="30" customHeight="1" x14ac:dyDescent="0.25">
      <c r="A1026" s="663"/>
      <c r="B1026" s="382" t="s">
        <v>251</v>
      </c>
      <c r="C1026" s="383" t="s">
        <v>127</v>
      </c>
      <c r="D1026" s="100">
        <f t="shared" si="67"/>
        <v>1424</v>
      </c>
      <c r="E1026" s="427" t="s">
        <v>174</v>
      </c>
      <c r="F1026" s="694" t="s">
        <v>240</v>
      </c>
      <c r="G1026" s="924"/>
      <c r="H1026" s="922"/>
      <c r="I1026" s="923"/>
      <c r="J1026" s="198" t="str">
        <f t="shared" si="68"/>
        <v/>
      </c>
      <c r="K1026" s="31"/>
      <c r="L1026" s="43"/>
      <c r="M1026" s="21"/>
      <c r="N1026" s="21" t="s">
        <v>668</v>
      </c>
      <c r="O1026" s="21"/>
      <c r="P1026" s="21"/>
      <c r="Q1026" s="21"/>
      <c r="R1026" s="21"/>
      <c r="S1026" s="21"/>
      <c r="T1026" s="21"/>
      <c r="U1026" s="21"/>
      <c r="V1026" s="21"/>
    </row>
    <row r="1027" spans="1:22" s="2" customFormat="1" ht="30" customHeight="1" x14ac:dyDescent="0.25">
      <c r="A1027" s="662"/>
      <c r="B1027" s="382" t="s">
        <v>255</v>
      </c>
      <c r="C1027" s="383" t="s">
        <v>128</v>
      </c>
      <c r="D1027" s="100">
        <f t="shared" si="67"/>
        <v>1425</v>
      </c>
      <c r="E1027" s="427" t="s">
        <v>174</v>
      </c>
      <c r="F1027" s="697" t="s">
        <v>240</v>
      </c>
      <c r="G1027" s="924"/>
      <c r="H1027" s="922"/>
      <c r="I1027" s="923"/>
      <c r="J1027" s="198" t="str">
        <f t="shared" si="68"/>
        <v/>
      </c>
      <c r="K1027" s="31"/>
      <c r="L1027" s="43"/>
      <c r="M1027" s="21"/>
      <c r="N1027" s="21" t="s">
        <v>668</v>
      </c>
      <c r="O1027" s="21"/>
      <c r="P1027" s="21"/>
      <c r="Q1027" s="21"/>
      <c r="R1027" s="21"/>
      <c r="S1027" s="21"/>
      <c r="T1027" s="21"/>
      <c r="U1027" s="21"/>
      <c r="V1027" s="21"/>
    </row>
    <row r="1028" spans="1:22" s="2" customFormat="1" ht="30" customHeight="1" x14ac:dyDescent="0.25">
      <c r="A1028" s="665">
        <f>A1024+1</f>
        <v>304</v>
      </c>
      <c r="B1028" s="384"/>
      <c r="C1028" s="383" t="s">
        <v>129</v>
      </c>
      <c r="D1028" s="100">
        <f t="shared" si="67"/>
        <v>1426</v>
      </c>
      <c r="E1028" s="427" t="s">
        <v>174</v>
      </c>
      <c r="F1028" s="699" t="s">
        <v>240</v>
      </c>
      <c r="G1028" s="924"/>
      <c r="H1028" s="922"/>
      <c r="I1028" s="923"/>
      <c r="J1028" s="198" t="str">
        <f t="shared" si="68"/>
        <v/>
      </c>
      <c r="K1028" s="31"/>
      <c r="L1028" s="43"/>
      <c r="M1028" s="21"/>
      <c r="N1028" s="21" t="s">
        <v>668</v>
      </c>
      <c r="O1028" s="21"/>
      <c r="P1028" s="21"/>
      <c r="Q1028" s="21"/>
      <c r="R1028" s="21"/>
      <c r="S1028" s="21"/>
      <c r="T1028" s="21"/>
      <c r="U1028" s="21"/>
      <c r="V1028" s="21"/>
    </row>
    <row r="1029" spans="1:22" s="2" customFormat="1" ht="30" customHeight="1" x14ac:dyDescent="0.25">
      <c r="A1029" s="665">
        <f>A1028+1</f>
        <v>305</v>
      </c>
      <c r="B1029" s="384"/>
      <c r="C1029" s="383" t="s">
        <v>130</v>
      </c>
      <c r="D1029" s="100">
        <f t="shared" si="67"/>
        <v>1427</v>
      </c>
      <c r="E1029" s="427" t="s">
        <v>121</v>
      </c>
      <c r="F1029" s="783">
        <v>0</v>
      </c>
      <c r="G1029" s="924"/>
      <c r="H1029" s="922"/>
      <c r="I1029" s="923"/>
      <c r="J1029" s="198" t="str">
        <f t="shared" si="68"/>
        <v/>
      </c>
      <c r="K1029" s="31"/>
      <c r="L1029" s="31"/>
      <c r="M1029" s="21"/>
      <c r="N1029" s="847" t="s">
        <v>668</v>
      </c>
      <c r="O1029" s="21"/>
      <c r="P1029" s="21"/>
      <c r="Q1029" s="21"/>
      <c r="R1029" s="21"/>
      <c r="S1029" s="21"/>
      <c r="T1029" s="21"/>
      <c r="U1029" s="21"/>
      <c r="V1029" s="21"/>
    </row>
    <row r="1030" spans="1:22" s="2" customFormat="1" ht="30" customHeight="1" x14ac:dyDescent="0.25">
      <c r="A1030" s="613" t="s">
        <v>131</v>
      </c>
      <c r="B1030" s="298"/>
      <c r="C1030" s="298"/>
      <c r="D1030" s="518"/>
      <c r="E1030" s="429"/>
      <c r="F1030" s="714"/>
      <c r="G1030" s="924"/>
      <c r="H1030" s="922"/>
      <c r="I1030" s="923"/>
      <c r="J1030" s="98"/>
      <c r="K1030" s="31"/>
      <c r="L1030" s="43"/>
      <c r="M1030" s="21"/>
      <c r="N1030" s="21"/>
      <c r="O1030" s="21"/>
      <c r="P1030" s="21"/>
      <c r="Q1030" s="21"/>
      <c r="R1030" s="21"/>
      <c r="S1030" s="21"/>
      <c r="T1030" s="21"/>
      <c r="U1030" s="21"/>
      <c r="V1030" s="21"/>
    </row>
    <row r="1031" spans="1:22" s="2" customFormat="1" ht="30" customHeight="1" x14ac:dyDescent="0.25">
      <c r="A1031" s="661">
        <f>A1029+1</f>
        <v>306</v>
      </c>
      <c r="B1031" s="382" t="s">
        <v>41</v>
      </c>
      <c r="C1031" s="383" t="s">
        <v>2231</v>
      </c>
      <c r="D1031" s="100">
        <f>D1029+1</f>
        <v>1428</v>
      </c>
      <c r="E1031" s="427" t="s">
        <v>171</v>
      </c>
      <c r="F1031" s="699" t="s">
        <v>263</v>
      </c>
      <c r="G1031" s="924"/>
      <c r="H1031" s="922"/>
      <c r="I1031" s="923"/>
      <c r="J1031" s="198" t="str">
        <f>IF(LEN(F1031)&gt;0,"","Belum Terisi")</f>
        <v/>
      </c>
      <c r="K1031" s="31"/>
      <c r="L1031" s="43"/>
      <c r="M1031" s="21"/>
      <c r="N1031" s="21"/>
      <c r="O1031" s="21"/>
      <c r="P1031" s="21"/>
      <c r="Q1031" s="21"/>
      <c r="R1031" s="21"/>
      <c r="S1031" s="21"/>
      <c r="T1031" s="21"/>
      <c r="U1031" s="21"/>
      <c r="V1031" s="21"/>
    </row>
    <row r="1032" spans="1:22" s="2" customFormat="1" ht="30" customHeight="1" x14ac:dyDescent="0.25">
      <c r="A1032" s="663"/>
      <c r="B1032" s="382" t="s">
        <v>139</v>
      </c>
      <c r="C1032" s="383" t="s">
        <v>2233</v>
      </c>
      <c r="D1032" s="100">
        <f t="shared" ref="D1032:D1041" si="69">D1031+1</f>
        <v>1429</v>
      </c>
      <c r="E1032" s="427" t="s">
        <v>171</v>
      </c>
      <c r="F1032" s="699" t="s">
        <v>827</v>
      </c>
      <c r="G1032" s="924"/>
      <c r="H1032" s="922"/>
      <c r="I1032" s="923"/>
      <c r="J1032" s="198" t="str">
        <f>IF(F1032="","Belum Terisi",IF(AND(F1031="Tidak Ada",F1032="Aktif"),"CEK",""))</f>
        <v/>
      </c>
      <c r="K1032" s="31" t="str">
        <f>IF(J1032="CEK",$F$1031&amp;" Kerjasama Eks PNPM","")</f>
        <v/>
      </c>
      <c r="L1032" s="43"/>
      <c r="M1032" s="21"/>
      <c r="N1032" s="21"/>
      <c r="O1032" s="21"/>
      <c r="P1032" s="21"/>
      <c r="Q1032" s="21"/>
      <c r="R1032" s="21"/>
      <c r="S1032" s="21"/>
      <c r="T1032" s="21"/>
      <c r="U1032" s="21"/>
      <c r="V1032" s="21"/>
    </row>
    <row r="1033" spans="1:22" s="2" customFormat="1" ht="30" customHeight="1" x14ac:dyDescent="0.25">
      <c r="A1033" s="663"/>
      <c r="B1033" s="382" t="s">
        <v>251</v>
      </c>
      <c r="C1033" s="383" t="s">
        <v>2239</v>
      </c>
      <c r="D1033" s="100">
        <f t="shared" si="69"/>
        <v>1430</v>
      </c>
      <c r="E1033" s="427" t="s">
        <v>174</v>
      </c>
      <c r="F1033" s="699" t="s">
        <v>240</v>
      </c>
      <c r="G1033" s="924"/>
      <c r="H1033" s="922"/>
      <c r="I1033" s="923"/>
      <c r="J1033" s="198" t="str">
        <f>IF(LEN(F1033)&gt;0,"","Belum Terisi")</f>
        <v/>
      </c>
      <c r="K1033" s="31"/>
      <c r="L1033" s="31"/>
      <c r="M1033" s="21"/>
      <c r="N1033" s="21"/>
      <c r="O1033" s="21"/>
      <c r="P1033" s="21"/>
      <c r="Q1033" s="21"/>
      <c r="R1033" s="21"/>
      <c r="S1033" s="21"/>
      <c r="T1033" s="21"/>
      <c r="U1033" s="21"/>
      <c r="V1033" s="21"/>
    </row>
    <row r="1034" spans="1:22" s="2" customFormat="1" ht="30" customHeight="1" x14ac:dyDescent="0.25">
      <c r="A1034" s="663"/>
      <c r="B1034" s="382" t="s">
        <v>255</v>
      </c>
      <c r="C1034" s="383" t="s">
        <v>2241</v>
      </c>
      <c r="D1034" s="100">
        <f t="shared" si="69"/>
        <v>1431</v>
      </c>
      <c r="E1034" s="427" t="s">
        <v>174</v>
      </c>
      <c r="F1034" s="699" t="s">
        <v>240</v>
      </c>
      <c r="G1034" s="924"/>
      <c r="H1034" s="922"/>
      <c r="I1034" s="923"/>
      <c r="J1034" s="198" t="str">
        <f>IF(LEN(F1034)&gt;0,"","Belum Terisi")</f>
        <v/>
      </c>
      <c r="K1034" s="31"/>
      <c r="L1034" s="43"/>
      <c r="M1034" s="21"/>
      <c r="N1034" s="21"/>
      <c r="O1034" s="21"/>
      <c r="P1034" s="21"/>
      <c r="Q1034" s="21"/>
      <c r="R1034" s="21"/>
      <c r="S1034" s="21"/>
      <c r="T1034" s="21"/>
      <c r="U1034" s="21"/>
      <c r="V1034" s="21"/>
    </row>
    <row r="1035" spans="1:22" s="2" customFormat="1" ht="30" customHeight="1" x14ac:dyDescent="0.25">
      <c r="A1035" s="663"/>
      <c r="B1035" s="382" t="s">
        <v>252</v>
      </c>
      <c r="C1035" s="383" t="s">
        <v>2245</v>
      </c>
      <c r="D1035" s="100">
        <f t="shared" si="69"/>
        <v>1432</v>
      </c>
      <c r="E1035" s="427" t="s">
        <v>174</v>
      </c>
      <c r="F1035" s="699" t="s">
        <v>240</v>
      </c>
      <c r="G1035" s="924"/>
      <c r="H1035" s="922"/>
      <c r="I1035" s="923"/>
      <c r="J1035" s="198" t="str">
        <f>IF(LEN(F1035)&gt;0,"","Belum Terisi")</f>
        <v/>
      </c>
      <c r="K1035" s="31"/>
      <c r="L1035" s="43"/>
      <c r="M1035" s="21"/>
      <c r="N1035" s="21"/>
      <c r="O1035" s="21"/>
      <c r="P1035" s="21"/>
      <c r="Q1035" s="21"/>
      <c r="R1035" s="21"/>
      <c r="S1035" s="21"/>
      <c r="T1035" s="21"/>
      <c r="U1035" s="21"/>
      <c r="V1035" s="21"/>
    </row>
    <row r="1036" spans="1:22" s="2" customFormat="1" ht="30" customHeight="1" x14ac:dyDescent="0.25">
      <c r="A1036" s="663"/>
      <c r="B1036" s="382" t="s">
        <v>253</v>
      </c>
      <c r="C1036" s="383" t="s">
        <v>2246</v>
      </c>
      <c r="D1036" s="100">
        <f t="shared" si="69"/>
        <v>1433</v>
      </c>
      <c r="E1036" s="427" t="s">
        <v>174</v>
      </c>
      <c r="F1036" s="699" t="s">
        <v>240</v>
      </c>
      <c r="G1036" s="924"/>
      <c r="H1036" s="922"/>
      <c r="I1036" s="923"/>
      <c r="J1036" s="198" t="str">
        <f>IF(LEN(F1036)&gt;0,"","Belum Terisi")</f>
        <v/>
      </c>
      <c r="K1036" s="31"/>
      <c r="L1036" s="43"/>
      <c r="M1036" s="21"/>
      <c r="N1036" s="21"/>
      <c r="O1036" s="21"/>
      <c r="P1036" s="21"/>
      <c r="Q1036" s="21"/>
      <c r="R1036" s="21"/>
      <c r="S1036" s="21"/>
      <c r="T1036" s="21"/>
      <c r="U1036" s="21"/>
      <c r="V1036" s="21"/>
    </row>
    <row r="1037" spans="1:22" s="2" customFormat="1" ht="30" customHeight="1" x14ac:dyDescent="0.25">
      <c r="A1037" s="663"/>
      <c r="B1037" s="382" t="s">
        <v>254</v>
      </c>
      <c r="C1037" s="383" t="s">
        <v>2248</v>
      </c>
      <c r="D1037" s="100">
        <f t="shared" si="69"/>
        <v>1434</v>
      </c>
      <c r="E1037" s="427" t="s">
        <v>121</v>
      </c>
      <c r="F1037" s="783">
        <v>0</v>
      </c>
      <c r="G1037" s="924"/>
      <c r="H1037" s="922"/>
      <c r="I1037" s="923"/>
      <c r="J1037" s="198" t="str">
        <f>IF(LEN(F1037)&gt;0,"","Belum Terisi")</f>
        <v/>
      </c>
      <c r="K1037" s="31"/>
      <c r="L1037" s="31"/>
      <c r="M1037" s="21"/>
      <c r="N1037" s="21"/>
      <c r="O1037" s="21"/>
      <c r="P1037" s="21"/>
      <c r="Q1037" s="21"/>
      <c r="R1037" s="21"/>
      <c r="S1037" s="21"/>
      <c r="T1037" s="21"/>
      <c r="U1037" s="21"/>
      <c r="V1037" s="21"/>
    </row>
    <row r="1038" spans="1:22" s="2" customFormat="1" ht="30" customHeight="1" x14ac:dyDescent="0.25">
      <c r="A1038" s="663"/>
      <c r="B1038" s="382" t="s">
        <v>256</v>
      </c>
      <c r="C1038" s="383" t="s">
        <v>2249</v>
      </c>
      <c r="D1038" s="100">
        <f t="shared" si="69"/>
        <v>1435</v>
      </c>
      <c r="E1038" s="427" t="s">
        <v>171</v>
      </c>
      <c r="F1038" s="699">
        <v>0</v>
      </c>
      <c r="G1038" s="924"/>
      <c r="H1038" s="922"/>
      <c r="I1038" s="923"/>
      <c r="J1038" s="198" t="str">
        <f>IF(F1038="","Belum Terisi",IF(AND(F1031="Tidak Ada",F1038&lt;&gt;0),"CEK",""))</f>
        <v/>
      </c>
      <c r="K1038" s="31" t="str">
        <f>IF(J1038="CEK",$F$1031&amp;" Kerjasama Antar Desa dalam Satu Kecamatan","")</f>
        <v/>
      </c>
      <c r="L1038" s="43"/>
      <c r="M1038" s="21"/>
      <c r="N1038" s="21"/>
      <c r="O1038" s="21"/>
      <c r="P1038" s="21"/>
      <c r="Q1038" s="21"/>
      <c r="R1038" s="21"/>
      <c r="S1038" s="21"/>
      <c r="T1038" s="21"/>
      <c r="U1038" s="21"/>
      <c r="V1038" s="21"/>
    </row>
    <row r="1039" spans="1:22" s="2" customFormat="1" ht="30" customHeight="1" x14ac:dyDescent="0.25">
      <c r="A1039" s="663"/>
      <c r="B1039" s="382" t="s">
        <v>257</v>
      </c>
      <c r="C1039" s="383" t="s">
        <v>2250</v>
      </c>
      <c r="D1039" s="100">
        <f t="shared" si="69"/>
        <v>1436</v>
      </c>
      <c r="E1039" s="427" t="s">
        <v>174</v>
      </c>
      <c r="F1039" s="699" t="s">
        <v>240</v>
      </c>
      <c r="G1039" s="924"/>
      <c r="H1039" s="922"/>
      <c r="I1039" s="923"/>
      <c r="J1039" s="198" t="str">
        <f>IF(LEN(F1039)&gt;0,"","Belum Terisi")</f>
        <v/>
      </c>
      <c r="K1039" s="31"/>
      <c r="L1039" s="43"/>
      <c r="M1039" s="21"/>
      <c r="N1039" s="21"/>
      <c r="O1039" s="21"/>
      <c r="P1039" s="21"/>
      <c r="Q1039" s="21"/>
      <c r="R1039" s="21"/>
      <c r="S1039" s="21"/>
      <c r="T1039" s="21"/>
      <c r="U1039" s="21"/>
      <c r="V1039" s="21"/>
    </row>
    <row r="1040" spans="1:22" s="2" customFormat="1" ht="30" customHeight="1" x14ac:dyDescent="0.25">
      <c r="A1040" s="663"/>
      <c r="B1040" s="382" t="s">
        <v>259</v>
      </c>
      <c r="C1040" s="383" t="s">
        <v>2252</v>
      </c>
      <c r="D1040" s="100">
        <f t="shared" si="69"/>
        <v>1437</v>
      </c>
      <c r="E1040" s="427" t="s">
        <v>171</v>
      </c>
      <c r="F1040" s="699">
        <v>0</v>
      </c>
      <c r="G1040" s="924"/>
      <c r="H1040" s="922"/>
      <c r="I1040" s="923"/>
      <c r="J1040" s="198" t="str">
        <f>IF(LEN(F1040)&gt;0,"","Belum Terisi")</f>
        <v/>
      </c>
      <c r="K1040" s="31"/>
      <c r="L1040" s="43"/>
      <c r="M1040" s="21"/>
      <c r="N1040" s="21"/>
      <c r="O1040" s="21"/>
      <c r="P1040" s="21"/>
      <c r="Q1040" s="21"/>
      <c r="R1040" s="21"/>
      <c r="S1040" s="21"/>
      <c r="T1040" s="21"/>
      <c r="U1040" s="21"/>
      <c r="V1040" s="21"/>
    </row>
    <row r="1041" spans="1:22" s="2" customFormat="1" ht="30" customHeight="1" x14ac:dyDescent="0.25">
      <c r="A1041" s="662"/>
      <c r="B1041" s="382" t="s">
        <v>260</v>
      </c>
      <c r="C1041" s="383" t="s">
        <v>2253</v>
      </c>
      <c r="D1041" s="100">
        <f t="shared" si="69"/>
        <v>1438</v>
      </c>
      <c r="E1041" s="427" t="s">
        <v>174</v>
      </c>
      <c r="F1041" s="699" t="s">
        <v>240</v>
      </c>
      <c r="G1041" s="924"/>
      <c r="H1041" s="922"/>
      <c r="I1041" s="923"/>
      <c r="J1041" s="198" t="str">
        <f>IF(LEN(F1041)&gt;0,"","Belum Terisi")</f>
        <v/>
      </c>
      <c r="K1041" s="31"/>
      <c r="L1041" s="31"/>
      <c r="M1041" s="21"/>
      <c r="N1041" s="21"/>
      <c r="O1041" s="21"/>
      <c r="P1041" s="21"/>
      <c r="Q1041" s="21"/>
      <c r="R1041" s="21"/>
      <c r="S1041" s="21"/>
      <c r="T1041" s="21"/>
      <c r="U1041" s="21"/>
      <c r="V1041" s="21"/>
    </row>
    <row r="1042" spans="1:22" s="2" customFormat="1" ht="30" customHeight="1" x14ac:dyDescent="0.25">
      <c r="A1042" s="613" t="s">
        <v>2251</v>
      </c>
      <c r="B1042" s="298"/>
      <c r="C1042" s="298"/>
      <c r="D1042" s="518"/>
      <c r="E1042" s="429"/>
      <c r="F1042" s="714"/>
      <c r="G1042" s="924"/>
      <c r="H1042" s="922"/>
      <c r="I1042" s="923"/>
      <c r="J1042" s="198"/>
      <c r="K1042" s="31"/>
      <c r="L1042" s="31"/>
      <c r="M1042" s="21"/>
      <c r="N1042" s="21"/>
      <c r="O1042" s="21"/>
      <c r="P1042" s="21"/>
      <c r="Q1042" s="21"/>
      <c r="R1042" s="21"/>
      <c r="S1042" s="21"/>
      <c r="T1042" s="21"/>
      <c r="U1042" s="21"/>
      <c r="V1042" s="21"/>
    </row>
    <row r="1043" spans="1:22" s="2" customFormat="1" ht="30" customHeight="1" x14ac:dyDescent="0.25">
      <c r="A1043" s="661">
        <f>A1031+1</f>
        <v>307</v>
      </c>
      <c r="B1043" s="382" t="s">
        <v>41</v>
      </c>
      <c r="C1043" s="383" t="s">
        <v>2232</v>
      </c>
      <c r="D1043" s="100">
        <f>D1041+1</f>
        <v>1439</v>
      </c>
      <c r="E1043" s="427" t="s">
        <v>62</v>
      </c>
      <c r="F1043" s="693">
        <v>0</v>
      </c>
      <c r="G1043" s="924"/>
      <c r="H1043" s="922" t="s">
        <v>154</v>
      </c>
      <c r="I1043" s="923"/>
      <c r="J1043" s="198" t="str">
        <f>IF(F1043="","Belum Terisi",IF(AND('INPUTAN DESA ....'!F414=1,F1043&lt;&gt;0),"CEK",IF(AND('INPUTAN DESA ....'!F414=5,F1043=0),"CEK","")))</f>
        <v/>
      </c>
      <c r="K1043" s="31" t="str">
        <f>IF(AND(J1043="CEK",'INPUTAN DESA ....'!F414=1,F1043&lt;&gt;0),"Tidak Terdapat Pendidikan Non-Formal/ Pusat Keterampilan/ Kursus",IF(AND(J1043="CEK",'INPUTAN DESA ....'!F414=5,F1043=0),"Terdapat Pendidikan Non-Formal/ Pusat Keterampilan/ Kursus",""))</f>
        <v/>
      </c>
      <c r="L1043" s="43"/>
      <c r="M1043" s="21"/>
      <c r="N1043" s="847" t="s">
        <v>668</v>
      </c>
      <c r="O1043" s="21"/>
      <c r="P1043" s="21"/>
      <c r="Q1043" s="21"/>
      <c r="R1043" s="21"/>
      <c r="S1043" s="21"/>
      <c r="T1043" s="21"/>
      <c r="U1043" s="21"/>
      <c r="V1043" s="21"/>
    </row>
    <row r="1044" spans="1:22" s="2" customFormat="1" ht="30" customHeight="1" x14ac:dyDescent="0.25">
      <c r="A1044" s="662"/>
      <c r="B1044" s="382" t="s">
        <v>139</v>
      </c>
      <c r="C1044" s="383" t="s">
        <v>2237</v>
      </c>
      <c r="D1044" s="100">
        <f t="shared" ref="D1044:D1050" si="70">D1043+1</f>
        <v>1440</v>
      </c>
      <c r="E1044" s="427" t="s">
        <v>51</v>
      </c>
      <c r="F1044" s="717">
        <v>0</v>
      </c>
      <c r="G1044" s="924">
        <v>5</v>
      </c>
      <c r="H1044" s="922" t="s">
        <v>197</v>
      </c>
      <c r="I1044" s="923"/>
      <c r="J1044" s="198" t="str">
        <f>IF(LEN(F1044)&gt;0,"","Belum Terisi")</f>
        <v/>
      </c>
      <c r="K1044" s="31"/>
      <c r="L1044" s="31"/>
      <c r="M1044" s="21"/>
      <c r="N1044" s="21"/>
      <c r="O1044" s="21"/>
      <c r="P1044" s="21"/>
      <c r="Q1044" s="21"/>
      <c r="R1044" s="21"/>
      <c r="S1044" s="21"/>
      <c r="T1044" s="21"/>
      <c r="U1044" s="21"/>
      <c r="V1044" s="21"/>
    </row>
    <row r="1045" spans="1:22" s="2" customFormat="1" ht="30" customHeight="1" x14ac:dyDescent="0.25">
      <c r="A1045" s="661">
        <f>A1043+1</f>
        <v>308</v>
      </c>
      <c r="B1045" s="382" t="s">
        <v>41</v>
      </c>
      <c r="C1045" s="383" t="s">
        <v>90</v>
      </c>
      <c r="D1045" s="100">
        <f t="shared" si="70"/>
        <v>1441</v>
      </c>
      <c r="E1045" s="427" t="s">
        <v>171</v>
      </c>
      <c r="F1045" s="693">
        <v>0</v>
      </c>
      <c r="G1045" s="924"/>
      <c r="H1045" s="922" t="s">
        <v>153</v>
      </c>
      <c r="I1045" s="923"/>
      <c r="J1045" s="198" t="str">
        <f>IF(LEN(F1045)&gt;0,"","Belum Terisi")</f>
        <v/>
      </c>
      <c r="K1045" s="31"/>
      <c r="L1045" s="43"/>
      <c r="M1045" s="21"/>
      <c r="N1045" s="21"/>
      <c r="O1045" s="21"/>
      <c r="P1045" s="21"/>
      <c r="Q1045" s="21"/>
      <c r="R1045" s="21"/>
      <c r="S1045" s="21"/>
      <c r="T1045" s="21"/>
      <c r="U1045" s="21"/>
      <c r="V1045" s="21"/>
    </row>
    <row r="1046" spans="1:22" s="2" customFormat="1" ht="30" customHeight="1" x14ac:dyDescent="0.25">
      <c r="A1046" s="662"/>
      <c r="B1046" s="382" t="s">
        <v>139</v>
      </c>
      <c r="C1046" s="383" t="s">
        <v>772</v>
      </c>
      <c r="D1046" s="100">
        <f t="shared" si="70"/>
        <v>1442</v>
      </c>
      <c r="E1046" s="427" t="s">
        <v>171</v>
      </c>
      <c r="F1046" s="697">
        <v>0</v>
      </c>
      <c r="G1046" s="924"/>
      <c r="H1046" s="922"/>
      <c r="I1046" s="923"/>
      <c r="J1046" s="198" t="str">
        <f>IF(F1046="","Belum Terisi",IF(AND(F1045=0,F1046&lt;&gt;0),"CEK",IF(AND(F1045&gt;0,F1046=0),"CEK","")))</f>
        <v/>
      </c>
      <c r="K1046" s="31" t="str">
        <f>IF(AND(J1046="CEK",F1045=0),"Tidak Terdapat Pasar Bangunan Permanen di Desa",IF(AND(J1046="CEK",F1045&gt;0),"Terdapat Pasar Bangunan Permanen di Desa",""))</f>
        <v/>
      </c>
      <c r="L1046" s="43"/>
      <c r="M1046" s="21"/>
      <c r="N1046" s="21"/>
      <c r="O1046" s="21"/>
      <c r="P1046" s="21"/>
      <c r="Q1046" s="21"/>
      <c r="R1046" s="847" t="s">
        <v>776</v>
      </c>
      <c r="S1046" s="847"/>
      <c r="T1046" s="847"/>
      <c r="U1046" s="847"/>
      <c r="V1046" s="21"/>
    </row>
    <row r="1047" spans="1:22" s="2" customFormat="1" ht="30" customHeight="1" x14ac:dyDescent="0.25">
      <c r="A1047" s="661">
        <f>A1045+1</f>
        <v>309</v>
      </c>
      <c r="B1047" s="382" t="s">
        <v>41</v>
      </c>
      <c r="C1047" s="383" t="s">
        <v>91</v>
      </c>
      <c r="D1047" s="100">
        <f t="shared" si="70"/>
        <v>1443</v>
      </c>
      <c r="E1047" s="427" t="s">
        <v>171</v>
      </c>
      <c r="F1047" s="693">
        <v>0</v>
      </c>
      <c r="G1047" s="924"/>
      <c r="H1047" s="922" t="s">
        <v>153</v>
      </c>
      <c r="I1047" s="923"/>
      <c r="J1047" s="198" t="str">
        <f>IF(LEN(F1047)&gt;0,"","Belum Terisi")</f>
        <v/>
      </c>
      <c r="K1047" s="31"/>
      <c r="L1047" s="31"/>
      <c r="M1047" s="21"/>
      <c r="N1047" s="21"/>
      <c r="O1047" s="21"/>
      <c r="P1047" s="21"/>
      <c r="Q1047" s="21"/>
      <c r="R1047" s="21"/>
      <c r="S1047" s="21"/>
      <c r="T1047" s="21"/>
      <c r="U1047" s="21"/>
      <c r="V1047" s="21"/>
    </row>
    <row r="1048" spans="1:22" s="2" customFormat="1" ht="30" customHeight="1" x14ac:dyDescent="0.25">
      <c r="A1048" s="662"/>
      <c r="B1048" s="382" t="s">
        <v>139</v>
      </c>
      <c r="C1048" s="383" t="s">
        <v>774</v>
      </c>
      <c r="D1048" s="100">
        <f t="shared" si="70"/>
        <v>1444</v>
      </c>
      <c r="E1048" s="427" t="s">
        <v>171</v>
      </c>
      <c r="F1048" s="697">
        <v>0</v>
      </c>
      <c r="G1048" s="924"/>
      <c r="H1048" s="922"/>
      <c r="I1048" s="923"/>
      <c r="J1048" s="198" t="str">
        <f>IF(F1048="","Belum Terisi",IF(AND(F1047=0,F1048&lt;&gt;0),"CEK",IF(AND(F1047&gt;0,F1048=0),"CEK","")))</f>
        <v/>
      </c>
      <c r="K1048" s="31" t="str">
        <f>IF(AND(J1048="CEK",F1047=0),"Tidak Terdapat Pasar Bangunan Semi Permanen di Desa",IF(AND(J1048="CEK",F1047&gt;0),"Terdapat Pasar Bangunan Semi Permanen di Desa",""))</f>
        <v/>
      </c>
      <c r="L1048" s="31"/>
      <c r="M1048" s="21"/>
      <c r="N1048" s="21"/>
      <c r="O1048" s="21"/>
      <c r="P1048" s="21"/>
      <c r="Q1048" s="21"/>
      <c r="R1048" s="847" t="s">
        <v>776</v>
      </c>
      <c r="S1048" s="847"/>
      <c r="T1048" s="847"/>
      <c r="U1048" s="847"/>
      <c r="V1048" s="21"/>
    </row>
    <row r="1049" spans="1:22" s="2" customFormat="1" ht="30" customHeight="1" x14ac:dyDescent="0.25">
      <c r="A1049" s="661">
        <f>A1047+1</f>
        <v>310</v>
      </c>
      <c r="B1049" s="382" t="s">
        <v>41</v>
      </c>
      <c r="C1049" s="383" t="s">
        <v>2238</v>
      </c>
      <c r="D1049" s="100">
        <f t="shared" si="70"/>
        <v>1445</v>
      </c>
      <c r="E1049" s="427" t="s">
        <v>171</v>
      </c>
      <c r="F1049" s="693">
        <v>0</v>
      </c>
      <c r="G1049" s="924"/>
      <c r="H1049" s="922" t="s">
        <v>153</v>
      </c>
      <c r="I1049" s="923"/>
      <c r="J1049" s="198" t="str">
        <f>IF(LEN(F1049)&gt;0,"","Belum Terisi")</f>
        <v/>
      </c>
      <c r="K1049" s="31"/>
      <c r="L1049" s="43"/>
      <c r="M1049" s="21"/>
      <c r="N1049" s="21"/>
      <c r="O1049" s="21"/>
      <c r="P1049" s="21"/>
      <c r="Q1049" s="21"/>
      <c r="R1049" s="21"/>
      <c r="S1049" s="21"/>
      <c r="T1049" s="21"/>
      <c r="U1049" s="21"/>
      <c r="V1049" s="21"/>
    </row>
    <row r="1050" spans="1:22" s="2" customFormat="1" ht="30" customHeight="1" x14ac:dyDescent="0.25">
      <c r="A1050" s="662"/>
      <c r="B1050" s="382" t="s">
        <v>139</v>
      </c>
      <c r="C1050" s="383" t="s">
        <v>775</v>
      </c>
      <c r="D1050" s="100">
        <f t="shared" si="70"/>
        <v>1446</v>
      </c>
      <c r="E1050" s="427" t="s">
        <v>171</v>
      </c>
      <c r="F1050" s="697">
        <v>0</v>
      </c>
      <c r="G1050" s="924"/>
      <c r="H1050" s="922" t="s">
        <v>863</v>
      </c>
      <c r="I1050" s="923"/>
      <c r="J1050" s="198" t="str">
        <f>IF(F1050="","Belum Terisi",IF(AND(F1049=0,F1050&lt;&gt;0),"CEK",IF(AND(F1049&gt;0,F1050=0),"CEK","")))</f>
        <v/>
      </c>
      <c r="K1050" s="31" t="str">
        <f>IF(AND(J1050="CEK",F1049=0),"Tidak Terdapat Pasar Tanpa Bangunan di Desa",IF(AND(J1050="CEK",F1049&gt;0),"Terdapat Pasar Tanpa Bangunan di Desa",""))</f>
        <v/>
      </c>
      <c r="L1050" s="43"/>
      <c r="M1050" s="21"/>
      <c r="N1050" s="21"/>
      <c r="O1050" s="21"/>
      <c r="P1050" s="21"/>
      <c r="Q1050" s="21"/>
      <c r="R1050" s="847" t="s">
        <v>776</v>
      </c>
      <c r="S1050" s="847"/>
      <c r="T1050" s="847"/>
      <c r="U1050" s="847"/>
      <c r="V1050" s="21"/>
    </row>
    <row r="1051" spans="1:22" s="2" customFormat="1" ht="30" customHeight="1" x14ac:dyDescent="0.25">
      <c r="A1051" s="613" t="s">
        <v>202</v>
      </c>
      <c r="B1051" s="298"/>
      <c r="C1051" s="298"/>
      <c r="D1051" s="428"/>
      <c r="E1051" s="429"/>
      <c r="F1051" s="732"/>
      <c r="G1051" s="924"/>
      <c r="H1051" s="922" t="s">
        <v>864</v>
      </c>
      <c r="I1051" s="923"/>
      <c r="J1051" s="98"/>
      <c r="K1051" s="31"/>
      <c r="L1051" s="43"/>
      <c r="M1051" s="21"/>
      <c r="N1051" s="21"/>
      <c r="O1051" s="21"/>
      <c r="P1051" s="21"/>
      <c r="Q1051" s="21"/>
      <c r="R1051" s="21"/>
      <c r="S1051" s="21"/>
      <c r="T1051" s="21"/>
      <c r="U1051" s="21"/>
      <c r="V1051" s="21"/>
    </row>
    <row r="1052" spans="1:22" s="2" customFormat="1" ht="30" customHeight="1" x14ac:dyDescent="0.25">
      <c r="A1052" s="613" t="s">
        <v>212</v>
      </c>
      <c r="B1052" s="298"/>
      <c r="C1052" s="298"/>
      <c r="D1052" s="428"/>
      <c r="E1052" s="429"/>
      <c r="F1052" s="732"/>
      <c r="G1052" s="924"/>
      <c r="H1052" s="922" t="s">
        <v>865</v>
      </c>
      <c r="I1052" s="923"/>
      <c r="J1052" s="98"/>
      <c r="K1052" s="31"/>
      <c r="L1052" s="31"/>
      <c r="M1052" s="21"/>
      <c r="N1052" s="21"/>
      <c r="O1052" s="21"/>
      <c r="P1052" s="21"/>
      <c r="Q1052" s="21"/>
      <c r="R1052" s="21"/>
      <c r="S1052" s="21"/>
      <c r="T1052" s="21"/>
      <c r="U1052" s="21"/>
      <c r="V1052" s="21"/>
    </row>
    <row r="1053" spans="1:22" s="2" customFormat="1" ht="30" customHeight="1" x14ac:dyDescent="0.25">
      <c r="A1053" s="661">
        <f>A1049+1</f>
        <v>311</v>
      </c>
      <c r="B1053" s="382" t="s">
        <v>41</v>
      </c>
      <c r="C1053" s="383" t="s">
        <v>2254</v>
      </c>
      <c r="D1053" s="100">
        <f>D1050+1</f>
        <v>1447</v>
      </c>
      <c r="E1053" s="427" t="s">
        <v>171</v>
      </c>
      <c r="F1053" s="693" t="s">
        <v>263</v>
      </c>
      <c r="G1053" s="924"/>
      <c r="H1053" s="922" t="s">
        <v>866</v>
      </c>
      <c r="I1053" s="923"/>
      <c r="J1053" s="198" t="str">
        <f>IF(LEN(F1053)&gt;0,"","Belum Terisi")</f>
        <v/>
      </c>
      <c r="K1053" s="31"/>
      <c r="L1053" s="43"/>
      <c r="M1053" s="21"/>
      <c r="N1053" s="847" t="s">
        <v>668</v>
      </c>
      <c r="O1053" s="21"/>
      <c r="P1053" s="21"/>
      <c r="Q1053" s="21"/>
      <c r="R1053" s="21"/>
      <c r="S1053" s="21"/>
      <c r="T1053" s="21"/>
      <c r="U1053" s="21"/>
      <c r="V1053" s="21"/>
    </row>
    <row r="1054" spans="1:22" s="2" customFormat="1" ht="40.15" customHeight="1" x14ac:dyDescent="0.25">
      <c r="A1054" s="663"/>
      <c r="B1054" s="382" t="s">
        <v>139</v>
      </c>
      <c r="C1054" s="383" t="s">
        <v>2264</v>
      </c>
      <c r="D1054" s="512">
        <f t="shared" ref="D1054:D1058" si="71">D1053+1</f>
        <v>1448</v>
      </c>
      <c r="E1054" s="427" t="s">
        <v>188</v>
      </c>
      <c r="F1054" s="843">
        <v>0</v>
      </c>
      <c r="G1054" s="924"/>
      <c r="H1054" s="960" t="s">
        <v>557</v>
      </c>
      <c r="I1054" s="923"/>
      <c r="J1054" s="198" t="str">
        <f>IF(F1054="","Belum Terisi",IF(AND(F1053="Tidak Ada",F1054&lt;&gt;0),"CEK",IF(AND(F1053&lt;&gt;"Tidak Ada",F1054=0),"CEK","")))</f>
        <v/>
      </c>
      <c r="K1054" s="31" t="str">
        <f>IF(AND(J1054="CEK",F1053="Tidak Ada"),"Tidak Ada Tanaman Pangan Masuk Pasar Domestik",IF(AND(J1054="CEK",F1053="Ada"),"Ada Tanaman Pangan Masuk Pasar Domestik",""))</f>
        <v/>
      </c>
      <c r="L1054" s="43"/>
      <c r="M1054" s="21"/>
      <c r="N1054" s="21" t="s">
        <v>668</v>
      </c>
      <c r="O1054" s="21"/>
      <c r="P1054" s="21"/>
      <c r="Q1054" s="21"/>
      <c r="R1054" s="21"/>
      <c r="S1054" s="21"/>
      <c r="T1054" s="21"/>
      <c r="U1054" s="21"/>
      <c r="V1054" s="21"/>
    </row>
    <row r="1055" spans="1:22" s="2" customFormat="1" ht="30" customHeight="1" x14ac:dyDescent="0.25">
      <c r="A1055" s="662"/>
      <c r="B1055" s="382" t="s">
        <v>251</v>
      </c>
      <c r="C1055" s="383" t="s">
        <v>2272</v>
      </c>
      <c r="D1055" s="512">
        <f t="shared" si="71"/>
        <v>1449</v>
      </c>
      <c r="E1055" s="427" t="s">
        <v>174</v>
      </c>
      <c r="F1055" s="697" t="s">
        <v>240</v>
      </c>
      <c r="G1055" s="924"/>
      <c r="H1055" s="922"/>
      <c r="I1055" s="923"/>
      <c r="J1055" s="198" t="str">
        <f>IF(F1055="","Belum Terisi",IF(AND(F1053&lt;&gt;"Tidak Ada",OR(LEN(F1055)&lt;5,F1055="-")),"CEK",IF(AND(F1053="Tidak Ada",OR(LEN(F1055)&gt;1,F1055&lt;&gt;"-")),"CEK","")))</f>
        <v/>
      </c>
      <c r="K1055" s="31" t="str">
        <f>IF(AND(J1055="CEK",F1053="Tidak Ada"),"Tidak Ada Tanaman Pangan Masuk Pasar Domestik",IF(AND(J1055="CEK",F1053="Ada"),"Ada Tanaman Pangan Masuk Pasar Domestik",""))</f>
        <v/>
      </c>
      <c r="L1055" s="43"/>
      <c r="M1055" s="21"/>
      <c r="N1055" s="21" t="s">
        <v>668</v>
      </c>
      <c r="O1055" s="21"/>
      <c r="P1055" s="21"/>
      <c r="Q1055" s="21"/>
      <c r="R1055" s="21"/>
      <c r="S1055" s="21"/>
      <c r="T1055" s="21"/>
      <c r="U1055" s="21"/>
      <c r="V1055" s="21"/>
    </row>
    <row r="1056" spans="1:22" s="2" customFormat="1" ht="30" customHeight="1" x14ac:dyDescent="0.25">
      <c r="A1056" s="661">
        <f>A1053+1</f>
        <v>312</v>
      </c>
      <c r="B1056" s="382" t="s">
        <v>41</v>
      </c>
      <c r="C1056" s="383" t="s">
        <v>2255</v>
      </c>
      <c r="D1056" s="512">
        <f t="shared" si="71"/>
        <v>1450</v>
      </c>
      <c r="E1056" s="427" t="s">
        <v>171</v>
      </c>
      <c r="F1056" s="693" t="s">
        <v>263</v>
      </c>
      <c r="G1056" s="924"/>
      <c r="H1056" s="922"/>
      <c r="I1056" s="923"/>
      <c r="J1056" s="198" t="str">
        <f>IF(F1056="","Belum Terisi",IF(AND(F1053="Tidak Ada",F1056&lt;&gt;"Tidak Ada"),"CEK",""))</f>
        <v/>
      </c>
      <c r="K1056" s="31" t="str">
        <f>IF(J1056="CEK","Produk Unggulan Pangan Pertama diisi Terlebih Dahulu","")</f>
        <v/>
      </c>
      <c r="L1056" s="31"/>
      <c r="M1056" s="21"/>
      <c r="N1056" s="21"/>
      <c r="O1056" s="21"/>
      <c r="P1056" s="21"/>
      <c r="Q1056" s="21"/>
      <c r="R1056" s="21"/>
      <c r="S1056" s="21"/>
      <c r="T1056" s="21"/>
      <c r="U1056" s="21"/>
      <c r="V1056" s="21"/>
    </row>
    <row r="1057" spans="1:22" s="2" customFormat="1" ht="40.15" customHeight="1" x14ac:dyDescent="0.25">
      <c r="A1057" s="663"/>
      <c r="B1057" s="382" t="s">
        <v>139</v>
      </c>
      <c r="C1057" s="383" t="s">
        <v>2265</v>
      </c>
      <c r="D1057" s="512">
        <f t="shared" si="71"/>
        <v>1451</v>
      </c>
      <c r="E1057" s="427" t="s">
        <v>188</v>
      </c>
      <c r="F1057" s="843">
        <v>0</v>
      </c>
      <c r="G1057" s="924"/>
      <c r="H1057" s="960" t="s">
        <v>557</v>
      </c>
      <c r="I1057" s="923"/>
      <c r="J1057" s="198" t="str">
        <f>IF(F1057="","Belum Terisi",IF(AND(F1056="Tidak Ada",F1057&lt;&gt;0),"CEK",IF(AND(F1056&lt;&gt;"Tidak Ada",F1057=0),"CEK","")))</f>
        <v/>
      </c>
      <c r="K1057" s="31" t="str">
        <f>IF(AND(J1057="CEK",F1056="Tidak Ada"),"Tidak Ada Tanaman Pangan Masuk Pasar Domestik",IF(AND(J1057="CEK",F1056="Ada"),"Ada Tanaman Pangan Masuk Pasar Domestik",""))</f>
        <v/>
      </c>
      <c r="L1057" s="43"/>
      <c r="M1057" s="21"/>
      <c r="N1057" s="21"/>
      <c r="O1057" s="21"/>
      <c r="P1057" s="21"/>
      <c r="Q1057" s="21"/>
      <c r="R1057" s="21"/>
      <c r="S1057" s="21"/>
      <c r="T1057" s="21"/>
      <c r="U1057" s="21"/>
      <c r="V1057" s="21"/>
    </row>
    <row r="1058" spans="1:22" s="2" customFormat="1" ht="30" customHeight="1" x14ac:dyDescent="0.25">
      <c r="A1058" s="662"/>
      <c r="B1058" s="382" t="s">
        <v>251</v>
      </c>
      <c r="C1058" s="383" t="s">
        <v>2273</v>
      </c>
      <c r="D1058" s="512">
        <f t="shared" si="71"/>
        <v>1452</v>
      </c>
      <c r="E1058" s="427" t="s">
        <v>174</v>
      </c>
      <c r="F1058" s="697" t="s">
        <v>240</v>
      </c>
      <c r="G1058" s="924"/>
      <c r="H1058" s="922"/>
      <c r="I1058" s="923"/>
      <c r="J1058" s="198" t="str">
        <f>IF(F1058="","Belum Terisi",IF(AND(F1056&lt;&gt;"Tidak Ada",OR(LEN(F1058)&lt;5,F1058="-")),"CEK",IF(AND(F1056="Tidak Ada",OR(LEN(F1058)&gt;1,F1058&lt;&gt;"-")),"CEK","")))</f>
        <v/>
      </c>
      <c r="K1058" s="31" t="str">
        <f>IF(AND(J1058="CEK",F1056="Tidak Ada"),"Tidak Ada Tanaman Pangan Masuk Pasar Domestik",IF(AND(J1058="CEK",F1056="Ada"),"Ada Tanaman Pangan Masuk Pasar Domestik",""))</f>
        <v/>
      </c>
      <c r="L1058" s="43"/>
      <c r="M1058" s="21"/>
      <c r="N1058" s="21"/>
      <c r="O1058" s="21"/>
      <c r="P1058" s="21"/>
      <c r="Q1058" s="21"/>
      <c r="R1058" s="21"/>
      <c r="S1058" s="21"/>
      <c r="T1058" s="21"/>
      <c r="U1058" s="21"/>
      <c r="V1058" s="21"/>
    </row>
    <row r="1059" spans="1:22" s="2" customFormat="1" ht="30" customHeight="1" x14ac:dyDescent="0.25">
      <c r="A1059" s="613" t="s">
        <v>211</v>
      </c>
      <c r="B1059" s="298"/>
      <c r="C1059" s="298"/>
      <c r="D1059" s="428"/>
      <c r="E1059" s="488"/>
      <c r="F1059" s="714"/>
      <c r="G1059" s="924"/>
      <c r="H1059" s="922"/>
      <c r="I1059" s="923"/>
      <c r="J1059" s="98"/>
      <c r="K1059" s="31"/>
      <c r="L1059" s="43"/>
      <c r="M1059" s="21"/>
      <c r="N1059" s="21"/>
      <c r="O1059" s="21"/>
      <c r="P1059" s="21"/>
      <c r="Q1059" s="21"/>
      <c r="R1059" s="21"/>
      <c r="S1059" s="21"/>
      <c r="T1059" s="21"/>
      <c r="U1059" s="21"/>
      <c r="V1059" s="21"/>
    </row>
    <row r="1060" spans="1:22" s="2" customFormat="1" ht="30" customHeight="1" x14ac:dyDescent="0.25">
      <c r="A1060" s="661">
        <f>A1056+1</f>
        <v>313</v>
      </c>
      <c r="B1060" s="382" t="s">
        <v>41</v>
      </c>
      <c r="C1060" s="383" t="s">
        <v>2256</v>
      </c>
      <c r="D1060" s="100">
        <f>D1058+1</f>
        <v>1453</v>
      </c>
      <c r="E1060" s="427" t="s">
        <v>171</v>
      </c>
      <c r="F1060" s="693" t="s">
        <v>263</v>
      </c>
      <c r="G1060" s="924"/>
      <c r="H1060" s="922"/>
      <c r="I1060" s="923"/>
      <c r="J1060" s="198" t="str">
        <f>IF(LEN(F1060)&gt;0,"","Belum Terisi")</f>
        <v/>
      </c>
      <c r="K1060" s="31"/>
      <c r="L1060" s="31"/>
      <c r="M1060" s="21"/>
      <c r="N1060" s="21"/>
      <c r="O1060" s="21"/>
      <c r="P1060" s="21"/>
      <c r="Q1060" s="21"/>
      <c r="R1060" s="21"/>
      <c r="S1060" s="21"/>
      <c r="T1060" s="21"/>
      <c r="U1060" s="21"/>
      <c r="V1060" s="21"/>
    </row>
    <row r="1061" spans="1:22" s="2" customFormat="1" ht="40.15" customHeight="1" x14ac:dyDescent="0.25">
      <c r="A1061" s="663"/>
      <c r="B1061" s="382" t="s">
        <v>139</v>
      </c>
      <c r="C1061" s="383" t="s">
        <v>2266</v>
      </c>
      <c r="D1061" s="100">
        <f>D1060+1</f>
        <v>1454</v>
      </c>
      <c r="E1061" s="427" t="s">
        <v>188</v>
      </c>
      <c r="F1061" s="843">
        <v>0</v>
      </c>
      <c r="G1061" s="924"/>
      <c r="H1061" s="960" t="s">
        <v>557</v>
      </c>
      <c r="I1061" s="923"/>
      <c r="J1061" s="198" t="str">
        <f>IF(F1061="","Belum Terisi",IF(AND(F1060="Tidak Ada",F1061&lt;&gt;0),"CEK",IF(AND(F1060&lt;&gt;"Tidak Ada",F1061=0),"CEK","")))</f>
        <v/>
      </c>
      <c r="K1061" s="31" t="str">
        <f>IF(AND(J1061="CEK",F1060="Tidak Ada"),"Tidak Ada Tanaman Buah Masuk Pasar Domestik",IF(AND(J1061="CEK",F1060="Ada"),"Ada Tanaman Buah Masuk Pasar Domestik",""))</f>
        <v/>
      </c>
      <c r="L1061" s="43"/>
      <c r="M1061" s="21"/>
      <c r="N1061" s="21"/>
      <c r="O1061" s="21"/>
      <c r="P1061" s="21"/>
      <c r="Q1061" s="21"/>
      <c r="R1061" s="21"/>
      <c r="S1061" s="21"/>
      <c r="T1061" s="21"/>
      <c r="U1061" s="21"/>
      <c r="V1061" s="21"/>
    </row>
    <row r="1062" spans="1:22" s="2" customFormat="1" ht="30" customHeight="1" x14ac:dyDescent="0.25">
      <c r="A1062" s="662"/>
      <c r="B1062" s="382" t="s">
        <v>251</v>
      </c>
      <c r="C1062" s="383" t="s">
        <v>2274</v>
      </c>
      <c r="D1062" s="100">
        <f t="shared" ref="D1062:D1065" si="72">D1061+1</f>
        <v>1455</v>
      </c>
      <c r="E1062" s="427" t="s">
        <v>174</v>
      </c>
      <c r="F1062" s="697" t="s">
        <v>240</v>
      </c>
      <c r="G1062" s="924"/>
      <c r="H1062" s="922"/>
      <c r="I1062" s="923"/>
      <c r="J1062" s="198" t="str">
        <f>IF(F1062="","Belum Terisi",IF(AND(F1060&lt;&gt;"Tidak Ada",OR(LEN(F1062)&lt;3,F1062="-")),"CEK",IF(AND(F1060="Tidak Ada",OR(LEN(F1062)&gt;1,F1062&lt;&gt;"-")),"CEK","")))</f>
        <v/>
      </c>
      <c r="K1062" s="31" t="str">
        <f>IF(AND(J1062="CEK",F1060="Tidak Ada"),"Tidak Ada Tanaman Buah Masuk Pasar Domestik",IF(AND(J1062="CEK",F1060="Ada"),"Ada Tanaman Buah Masuk Pasar Domestik",""))</f>
        <v/>
      </c>
      <c r="L1062" s="43"/>
      <c r="M1062" s="21"/>
      <c r="N1062" s="21"/>
      <c r="O1062" s="21"/>
      <c r="P1062" s="21"/>
      <c r="Q1062" s="21"/>
      <c r="R1062" s="21"/>
      <c r="S1062" s="21"/>
      <c r="T1062" s="21"/>
      <c r="U1062" s="21"/>
      <c r="V1062" s="21"/>
    </row>
    <row r="1063" spans="1:22" s="2" customFormat="1" ht="30" customHeight="1" x14ac:dyDescent="0.25">
      <c r="A1063" s="661">
        <f>A1060+1</f>
        <v>314</v>
      </c>
      <c r="B1063" s="382" t="s">
        <v>41</v>
      </c>
      <c r="C1063" s="383" t="s">
        <v>2257</v>
      </c>
      <c r="D1063" s="100">
        <f t="shared" si="72"/>
        <v>1456</v>
      </c>
      <c r="E1063" s="427" t="s">
        <v>171</v>
      </c>
      <c r="F1063" s="693" t="s">
        <v>263</v>
      </c>
      <c r="G1063" s="924"/>
      <c r="H1063" s="922"/>
      <c r="I1063" s="923"/>
      <c r="J1063" s="198" t="str">
        <f>IF(F1063="","Belum Terisi",IF(AND(F1060="Tidak Ada",F1063&lt;&gt;"Tidak Ada"),"CEK",""))</f>
        <v/>
      </c>
      <c r="K1063" s="31" t="str">
        <f>IF(J1063="CEK","Produk Unggulan Buah Pertama diisi Terlebih Dahulu","")</f>
        <v/>
      </c>
      <c r="L1063" s="43"/>
      <c r="M1063" s="21"/>
      <c r="N1063" s="21"/>
      <c r="O1063" s="21"/>
      <c r="P1063" s="21"/>
      <c r="Q1063" s="21"/>
      <c r="R1063" s="21"/>
      <c r="S1063" s="21"/>
      <c r="T1063" s="21"/>
      <c r="U1063" s="21"/>
      <c r="V1063" s="21"/>
    </row>
    <row r="1064" spans="1:22" s="2" customFormat="1" ht="40.15" customHeight="1" x14ac:dyDescent="0.25">
      <c r="A1064" s="663"/>
      <c r="B1064" s="382" t="s">
        <v>139</v>
      </c>
      <c r="C1064" s="383" t="s">
        <v>2267</v>
      </c>
      <c r="D1064" s="100">
        <f t="shared" si="72"/>
        <v>1457</v>
      </c>
      <c r="E1064" s="427" t="s">
        <v>188</v>
      </c>
      <c r="F1064" s="843">
        <v>0</v>
      </c>
      <c r="G1064" s="924"/>
      <c r="H1064" s="960" t="s">
        <v>557</v>
      </c>
      <c r="I1064" s="923"/>
      <c r="J1064" s="198" t="str">
        <f>IF(F1064="","Belum Terisi",IF(AND(F1063="Tidak Ada",F1064&lt;&gt;0),"CEK",IF(AND(F1063&lt;&gt;"Tidak Ada",F1064=0),"CEK","")))</f>
        <v/>
      </c>
      <c r="K1064" s="31" t="str">
        <f>IF(AND(J1064="CEK",F1063="Tidak Ada"),"Tidak Ada Tanaman Buah Masuk Pasar Domestik",IF(AND(J1064="CEK",F1063="Ada"),"Ada Tanaman Buah Masuk Pasar Domestik",""))</f>
        <v/>
      </c>
      <c r="L1064" s="31"/>
      <c r="M1064" s="21"/>
      <c r="N1064" s="21"/>
      <c r="O1064" s="21"/>
      <c r="P1064" s="21"/>
      <c r="Q1064" s="21"/>
      <c r="R1064" s="21"/>
      <c r="S1064" s="21"/>
      <c r="T1064" s="21"/>
      <c r="U1064" s="21"/>
      <c r="V1064" s="21"/>
    </row>
    <row r="1065" spans="1:22" s="2" customFormat="1" ht="30" customHeight="1" x14ac:dyDescent="0.25">
      <c r="A1065" s="662"/>
      <c r="B1065" s="382" t="s">
        <v>251</v>
      </c>
      <c r="C1065" s="383" t="s">
        <v>2275</v>
      </c>
      <c r="D1065" s="100">
        <f t="shared" si="72"/>
        <v>1458</v>
      </c>
      <c r="E1065" s="427" t="s">
        <v>174</v>
      </c>
      <c r="F1065" s="697" t="s">
        <v>240</v>
      </c>
      <c r="G1065" s="924"/>
      <c r="H1065" s="922"/>
      <c r="I1065" s="923"/>
      <c r="J1065" s="198" t="str">
        <f>IF(F1065="","Belum Terisi",IF(AND(F1063&lt;&gt;"Tidak Ada",OR(LEN(F1065)&lt;3,F1065="-")),"CEK",IF(AND(F1063="Tidak Ada",OR(LEN(F1065)&gt;1,F1065&lt;&gt;"-")),"CEK","")))</f>
        <v/>
      </c>
      <c r="K1065" s="31" t="str">
        <f>IF(AND(J1065="CEK",F1063="Tidak Ada"),"Tidak Ada Tanaman Buah Masuk Pasar Domestik",IF(AND(J1065="CEK",F1063="Ada"),"Ada Tanaman Buah Masuk Pasar Domestik",""))</f>
        <v/>
      </c>
      <c r="L1065" s="43"/>
      <c r="M1065" s="21"/>
      <c r="N1065" s="21"/>
      <c r="O1065" s="21"/>
      <c r="P1065" s="21"/>
      <c r="Q1065" s="21"/>
      <c r="R1065" s="21"/>
      <c r="S1065" s="21"/>
      <c r="T1065" s="21"/>
      <c r="U1065" s="21"/>
      <c r="V1065" s="21"/>
    </row>
    <row r="1066" spans="1:22" s="2" customFormat="1" ht="30" customHeight="1" x14ac:dyDescent="0.25">
      <c r="A1066" s="613" t="s">
        <v>210</v>
      </c>
      <c r="B1066" s="298"/>
      <c r="C1066" s="298"/>
      <c r="D1066" s="428"/>
      <c r="E1066" s="429"/>
      <c r="F1066" s="714"/>
      <c r="G1066" s="924"/>
      <c r="H1066" s="922"/>
      <c r="I1066" s="923"/>
      <c r="J1066" s="98"/>
      <c r="K1066" s="31"/>
      <c r="L1066" s="43"/>
      <c r="M1066" s="21"/>
      <c r="N1066" s="21"/>
      <c r="O1066" s="21"/>
      <c r="P1066" s="21"/>
      <c r="Q1066" s="21"/>
      <c r="R1066" s="21"/>
      <c r="S1066" s="21"/>
      <c r="T1066" s="21"/>
      <c r="U1066" s="21"/>
      <c r="V1066" s="21"/>
    </row>
    <row r="1067" spans="1:22" s="2" customFormat="1" ht="30" customHeight="1" x14ac:dyDescent="0.25">
      <c r="A1067" s="661">
        <f>A1063+1</f>
        <v>315</v>
      </c>
      <c r="B1067" s="382" t="s">
        <v>41</v>
      </c>
      <c r="C1067" s="383" t="s">
        <v>2258</v>
      </c>
      <c r="D1067" s="100">
        <f>D1065+1</f>
        <v>1459</v>
      </c>
      <c r="E1067" s="427" t="s">
        <v>171</v>
      </c>
      <c r="F1067" s="693" t="s">
        <v>263</v>
      </c>
      <c r="G1067" s="924"/>
      <c r="H1067" s="928" t="s">
        <v>682</v>
      </c>
      <c r="I1067" s="923"/>
      <c r="J1067" s="198" t="str">
        <f>IF(LEN(F1067)&gt;0,"","Belum Terisi")</f>
        <v/>
      </c>
      <c r="K1067" s="31"/>
      <c r="L1067" s="43"/>
      <c r="M1067" s="21"/>
      <c r="N1067" s="21"/>
      <c r="O1067" s="21"/>
      <c r="P1067" s="21"/>
      <c r="Q1067" s="21"/>
      <c r="R1067" s="21"/>
      <c r="S1067" s="21"/>
      <c r="T1067" s="21"/>
      <c r="U1067" s="21"/>
      <c r="V1067" s="21"/>
    </row>
    <row r="1068" spans="1:22" s="2" customFormat="1" ht="40.15" customHeight="1" x14ac:dyDescent="0.25">
      <c r="A1068" s="663"/>
      <c r="B1068" s="382" t="s">
        <v>139</v>
      </c>
      <c r="C1068" s="383" t="s">
        <v>2268</v>
      </c>
      <c r="D1068" s="100">
        <f>D1067+1</f>
        <v>1460</v>
      </c>
      <c r="E1068" s="427" t="s">
        <v>188</v>
      </c>
      <c r="F1068" s="843">
        <v>0</v>
      </c>
      <c r="G1068" s="924"/>
      <c r="H1068" s="960" t="s">
        <v>557</v>
      </c>
      <c r="I1068" s="923"/>
      <c r="J1068" s="198" t="str">
        <f>IF(F1068="","Belum Terisi",IF(AND(F1067="Tidak Ada",F1068&lt;&gt;0),"CEK",IF(AND(F1067&lt;&gt;"Tidak Ada",F1068=0),"CEK","")))</f>
        <v/>
      </c>
      <c r="K1068" s="31" t="str">
        <f>IF(AND(J1068="CEK",F1067="Tidak Ada"),"Tidak Ada Tanaman Sayur Masuk Pasar Domestik",IF(AND(J1068="CEK",F1067="Ada"),"Ada Tanaman Sayur Masuk Pasar Domestik",""))</f>
        <v/>
      </c>
      <c r="L1068" s="31"/>
      <c r="M1068" s="21"/>
      <c r="N1068" s="21"/>
      <c r="O1068" s="21"/>
      <c r="P1068" s="21"/>
      <c r="Q1068" s="21"/>
      <c r="R1068" s="21"/>
      <c r="S1068" s="21"/>
      <c r="T1068" s="21"/>
      <c r="U1068" s="21"/>
      <c r="V1068" s="21"/>
    </row>
    <row r="1069" spans="1:22" s="2" customFormat="1" ht="30" customHeight="1" x14ac:dyDescent="0.25">
      <c r="A1069" s="662"/>
      <c r="B1069" s="382" t="s">
        <v>251</v>
      </c>
      <c r="C1069" s="383" t="s">
        <v>2276</v>
      </c>
      <c r="D1069" s="100">
        <f t="shared" ref="D1069:D1072" si="73">D1068+1</f>
        <v>1461</v>
      </c>
      <c r="E1069" s="427" t="s">
        <v>174</v>
      </c>
      <c r="F1069" s="697" t="s">
        <v>240</v>
      </c>
      <c r="G1069" s="924"/>
      <c r="H1069" s="922"/>
      <c r="I1069" s="923"/>
      <c r="J1069" s="198" t="str">
        <f>IF(F1069="","Belum Terisi",IF(AND(F1067&lt;&gt;"Tidak Ada",OR(LEN(F1069)&lt;5,F1069="-")),"CEK",IF(AND(F1067="Tidak Ada",OR(LEN(F1069)&gt;1,F1069&lt;&gt;"-")),"CEK","")))</f>
        <v/>
      </c>
      <c r="K1069" s="31" t="str">
        <f>IF(AND(J1069="CEK",F1067="Tidak Ada"),"Tidak Ada Tanaman Sayur Masuk Pasar Domestik",IF(AND(J1069="CEK",F1067="Ada"),"Ada Tanaman Sayur Masuk Pasar Domestik",""))</f>
        <v/>
      </c>
      <c r="L1069" s="43"/>
      <c r="M1069" s="21"/>
      <c r="N1069" s="21"/>
      <c r="O1069" s="21"/>
      <c r="P1069" s="21"/>
      <c r="Q1069" s="21"/>
      <c r="R1069" s="21"/>
      <c r="S1069" s="21"/>
      <c r="T1069" s="21"/>
      <c r="U1069" s="21"/>
      <c r="V1069" s="21"/>
    </row>
    <row r="1070" spans="1:22" s="2" customFormat="1" ht="30" customHeight="1" x14ac:dyDescent="0.25">
      <c r="A1070" s="661">
        <f>A1067+1</f>
        <v>316</v>
      </c>
      <c r="B1070" s="382" t="s">
        <v>41</v>
      </c>
      <c r="C1070" s="383" t="s">
        <v>2259</v>
      </c>
      <c r="D1070" s="100">
        <f t="shared" si="73"/>
        <v>1462</v>
      </c>
      <c r="E1070" s="427" t="s">
        <v>171</v>
      </c>
      <c r="F1070" s="693" t="s">
        <v>263</v>
      </c>
      <c r="G1070" s="924"/>
      <c r="H1070" s="922"/>
      <c r="I1070" s="923"/>
      <c r="J1070" s="198" t="str">
        <f>IF(F1070="","Belum Terisi",IF(AND(F1067="Tidak Ada",F1070&lt;&gt;"Tidak Ada"),"CEK",""))</f>
        <v/>
      </c>
      <c r="K1070" s="31" t="str">
        <f>IF(J1070="CEK","Produk Unggulan Sayur Pertama diisi Terlebih Dahulu","")</f>
        <v/>
      </c>
      <c r="L1070" s="43"/>
      <c r="M1070" s="21"/>
      <c r="N1070" s="21"/>
      <c r="O1070" s="21"/>
      <c r="P1070" s="21"/>
      <c r="Q1070" s="21"/>
      <c r="R1070" s="21"/>
      <c r="S1070" s="21"/>
      <c r="T1070" s="21"/>
      <c r="U1070" s="21"/>
      <c r="V1070" s="21"/>
    </row>
    <row r="1071" spans="1:22" s="2" customFormat="1" ht="30" customHeight="1" x14ac:dyDescent="0.25">
      <c r="A1071" s="663"/>
      <c r="B1071" s="382" t="s">
        <v>139</v>
      </c>
      <c r="C1071" s="383" t="s">
        <v>2269</v>
      </c>
      <c r="D1071" s="100">
        <f t="shared" si="73"/>
        <v>1463</v>
      </c>
      <c r="E1071" s="427" t="s">
        <v>188</v>
      </c>
      <c r="F1071" s="843">
        <v>0</v>
      </c>
      <c r="G1071" s="924"/>
      <c r="H1071" s="960" t="s">
        <v>557</v>
      </c>
      <c r="I1071" s="923"/>
      <c r="J1071" s="198" t="str">
        <f>IF(F1071="","Belum Terisi",IF(AND(F1070="Tidak Ada",F1071&lt;&gt;0),"CEK",IF(AND(F1070&lt;&gt;"Tidak Ada",F1071=0),"CEK","")))</f>
        <v/>
      </c>
      <c r="K1071" s="31" t="str">
        <f>IF(AND(J1071="CEK",F1070="Tidak Ada"),"Tidak Ada Tanaman Sayur Masuk Pasar Domestik",IF(AND(J1071="CEK",F1070="Ada"),"Ada Tanaman Sayur Masuk Pasar Domestik",""))</f>
        <v/>
      </c>
      <c r="L1071" s="43"/>
      <c r="M1071" s="21"/>
      <c r="N1071" s="21"/>
      <c r="O1071" s="21"/>
      <c r="P1071" s="21"/>
      <c r="Q1071" s="21"/>
      <c r="R1071" s="21"/>
      <c r="S1071" s="21"/>
      <c r="T1071" s="21"/>
      <c r="U1071" s="21"/>
      <c r="V1071" s="21"/>
    </row>
    <row r="1072" spans="1:22" s="2" customFormat="1" ht="30" customHeight="1" x14ac:dyDescent="0.25">
      <c r="A1072" s="662"/>
      <c r="B1072" s="382" t="s">
        <v>251</v>
      </c>
      <c r="C1072" s="383" t="s">
        <v>2277</v>
      </c>
      <c r="D1072" s="100">
        <f t="shared" si="73"/>
        <v>1464</v>
      </c>
      <c r="E1072" s="427" t="s">
        <v>174</v>
      </c>
      <c r="F1072" s="697" t="s">
        <v>240</v>
      </c>
      <c r="G1072" s="924"/>
      <c r="H1072" s="922"/>
      <c r="I1072" s="923"/>
      <c r="J1072" s="198" t="str">
        <f>IF(F1072="","Belum Terisi",IF(AND(F1070&lt;&gt;"Tidak Ada",OR(LEN(F1072)&lt;5,F1072="-")),"CEK",IF(AND(F1070="Tidak Ada",OR(LEN(F1072)&gt;1,F1072&lt;&gt;"-")),"CEK","")))</f>
        <v/>
      </c>
      <c r="K1072" s="31" t="str">
        <f>IF(AND(J1072="CEK",F1070="Tidak Ada"),"Tidak Ada Tanaman Sayur Masuk Pasar Domestik",IF(AND(J1072="CEK",F1070="Ada"),"Ada Tanaman Sayur Masuk Pasar Domestik",""))</f>
        <v/>
      </c>
      <c r="L1072" s="31"/>
      <c r="M1072" s="21"/>
      <c r="N1072" s="21"/>
      <c r="O1072" s="21"/>
      <c r="P1072" s="21"/>
      <c r="Q1072" s="21"/>
      <c r="R1072" s="21"/>
      <c r="S1072" s="21"/>
      <c r="T1072" s="21"/>
      <c r="U1072" s="21"/>
      <c r="V1072" s="21"/>
    </row>
    <row r="1073" spans="1:22" s="2" customFormat="1" ht="30" customHeight="1" x14ac:dyDescent="0.25">
      <c r="A1073" s="613" t="s">
        <v>209</v>
      </c>
      <c r="B1073" s="298"/>
      <c r="C1073" s="298"/>
      <c r="D1073" s="428"/>
      <c r="E1073" s="429"/>
      <c r="F1073" s="714"/>
      <c r="G1073" s="924"/>
      <c r="H1073" s="922"/>
      <c r="I1073" s="923"/>
      <c r="J1073" s="98"/>
      <c r="K1073" s="31"/>
      <c r="L1073" s="43"/>
      <c r="M1073" s="21"/>
      <c r="N1073" s="21"/>
      <c r="O1073" s="21"/>
      <c r="P1073" s="21"/>
      <c r="Q1073" s="21"/>
      <c r="R1073" s="21"/>
      <c r="S1073" s="21"/>
      <c r="T1073" s="21"/>
      <c r="U1073" s="21"/>
      <c r="V1073" s="21"/>
    </row>
    <row r="1074" spans="1:22" s="2" customFormat="1" ht="30" customHeight="1" x14ac:dyDescent="0.25">
      <c r="A1074" s="661">
        <f>A1070+1</f>
        <v>317</v>
      </c>
      <c r="B1074" s="382" t="s">
        <v>41</v>
      </c>
      <c r="C1074" s="383" t="s">
        <v>2260</v>
      </c>
      <c r="D1074" s="100">
        <f>D1072+1</f>
        <v>1465</v>
      </c>
      <c r="E1074" s="427" t="s">
        <v>171</v>
      </c>
      <c r="F1074" s="693" t="s">
        <v>263</v>
      </c>
      <c r="G1074" s="924"/>
      <c r="H1074" s="928" t="s">
        <v>683</v>
      </c>
      <c r="I1074" s="923"/>
      <c r="J1074" s="198" t="str">
        <f>IF(LEN(F1074)&gt;0,"","Belum Terisi")</f>
        <v/>
      </c>
      <c r="K1074" s="31"/>
      <c r="L1074" s="43"/>
      <c r="M1074" s="21"/>
      <c r="N1074" s="21"/>
      <c r="O1074" s="21"/>
      <c r="P1074" s="21"/>
      <c r="Q1074" s="21"/>
      <c r="R1074" s="21"/>
      <c r="S1074" s="21"/>
      <c r="T1074" s="21"/>
      <c r="U1074" s="21"/>
      <c r="V1074" s="21"/>
    </row>
    <row r="1075" spans="1:22" s="2" customFormat="1" ht="40.15" customHeight="1" x14ac:dyDescent="0.25">
      <c r="A1075" s="663"/>
      <c r="B1075" s="382" t="s">
        <v>139</v>
      </c>
      <c r="C1075" s="383" t="s">
        <v>2270</v>
      </c>
      <c r="D1075" s="100">
        <f>D1074+1</f>
        <v>1466</v>
      </c>
      <c r="E1075" s="427" t="s">
        <v>188</v>
      </c>
      <c r="F1075" s="843">
        <v>0</v>
      </c>
      <c r="G1075" s="924"/>
      <c r="H1075" s="960" t="s">
        <v>557</v>
      </c>
      <c r="I1075" s="923"/>
      <c r="J1075" s="198" t="str">
        <f>IF(F1075="","Belum Terisi",IF(AND(F1074="Tidak Ada",F1075&lt;&gt;0),"CEK",IF(AND(F1074&lt;&gt;"Tidak Ada",F1075=0),"CEK","")))</f>
        <v/>
      </c>
      <c r="K1075" s="31" t="str">
        <f>IF(AND(J1075="CEK",F1074="Tidak Ada"),"Tidak Ada Tanaman Obat Masuk Pasar Domestik",IF(AND(J1075="CEK",F1074="Ada"),"Ada Tanaman Obat Masuk Pasar Domestik",""))</f>
        <v/>
      </c>
      <c r="L1075" s="43"/>
      <c r="M1075" s="21"/>
      <c r="N1075" s="21"/>
      <c r="O1075" s="21"/>
      <c r="P1075" s="21"/>
      <c r="Q1075" s="21"/>
      <c r="R1075" s="21"/>
      <c r="S1075" s="21"/>
      <c r="T1075" s="21"/>
      <c r="U1075" s="21"/>
      <c r="V1075" s="21"/>
    </row>
    <row r="1076" spans="1:22" s="2" customFormat="1" ht="30" customHeight="1" x14ac:dyDescent="0.25">
      <c r="A1076" s="662"/>
      <c r="B1076" s="382" t="s">
        <v>251</v>
      </c>
      <c r="C1076" s="383" t="s">
        <v>2278</v>
      </c>
      <c r="D1076" s="100">
        <f t="shared" ref="D1076:D1079" si="74">D1075+1</f>
        <v>1467</v>
      </c>
      <c r="E1076" s="427" t="s">
        <v>174</v>
      </c>
      <c r="F1076" s="697" t="s">
        <v>240</v>
      </c>
      <c r="G1076" s="924"/>
      <c r="H1076" s="922"/>
      <c r="I1076" s="923"/>
      <c r="J1076" s="198" t="str">
        <f>IF(F1076="","Belum Terisi",IF(AND(F1074&lt;&gt;"Tidak Ada",OR(LEN(F1076)&lt;5,F1076="-")),"CEK",IF(AND(F1074="Tidak Ada",OR(LEN(F1076)&gt;1,F1076&lt;&gt;"-")),"CEK","")))</f>
        <v/>
      </c>
      <c r="K1076" s="31" t="str">
        <f>IF(AND(J1076="CEK",F1074="Tidak Ada"),"Tidak Ada Tanaman Obat Masuk Pasar Domestik",IF(AND(J1076="CEK",F1074="Ada"),"Ada Tanaman Obat Masuk Pasar Domestik",""))</f>
        <v/>
      </c>
      <c r="L1076" s="31"/>
      <c r="M1076" s="21"/>
      <c r="N1076" s="21"/>
      <c r="O1076" s="21"/>
      <c r="P1076" s="21"/>
      <c r="Q1076" s="21"/>
      <c r="R1076" s="21"/>
      <c r="S1076" s="21"/>
      <c r="T1076" s="21"/>
      <c r="U1076" s="21"/>
      <c r="V1076" s="21"/>
    </row>
    <row r="1077" spans="1:22" s="2" customFormat="1" ht="30" customHeight="1" x14ac:dyDescent="0.25">
      <c r="A1077" s="661">
        <f>A1074+1</f>
        <v>318</v>
      </c>
      <c r="B1077" s="382" t="s">
        <v>41</v>
      </c>
      <c r="C1077" s="383" t="s">
        <v>2261</v>
      </c>
      <c r="D1077" s="100">
        <f t="shared" si="74"/>
        <v>1468</v>
      </c>
      <c r="E1077" s="427" t="s">
        <v>171</v>
      </c>
      <c r="F1077" s="693" t="s">
        <v>263</v>
      </c>
      <c r="G1077" s="924"/>
      <c r="H1077" s="922"/>
      <c r="I1077" s="923"/>
      <c r="J1077" s="198" t="str">
        <f>IF(F1077="","Belum Terisi",IF(AND(F1074="Tidak Ada",F1077&lt;&gt;"Tidak Ada"),"CEK",""))</f>
        <v/>
      </c>
      <c r="K1077" s="31" t="str">
        <f>IF(J1077="CEK","Produk Unggulan Obat Pertama diisi Terlebih Dahulu","")</f>
        <v/>
      </c>
      <c r="L1077" s="43"/>
      <c r="M1077" s="21"/>
      <c r="N1077" s="21"/>
      <c r="O1077" s="21"/>
      <c r="P1077" s="21"/>
      <c r="Q1077" s="21"/>
      <c r="R1077" s="21"/>
      <c r="S1077" s="21"/>
      <c r="T1077" s="21"/>
      <c r="U1077" s="21"/>
      <c r="V1077" s="21"/>
    </row>
    <row r="1078" spans="1:22" s="2" customFormat="1" ht="30" customHeight="1" x14ac:dyDescent="0.25">
      <c r="A1078" s="663"/>
      <c r="B1078" s="382" t="s">
        <v>139</v>
      </c>
      <c r="C1078" s="383" t="s">
        <v>2271</v>
      </c>
      <c r="D1078" s="100">
        <f t="shared" si="74"/>
        <v>1469</v>
      </c>
      <c r="E1078" s="427" t="s">
        <v>188</v>
      </c>
      <c r="F1078" s="843">
        <v>0</v>
      </c>
      <c r="G1078" s="924"/>
      <c r="H1078" s="960" t="s">
        <v>557</v>
      </c>
      <c r="I1078" s="923"/>
      <c r="J1078" s="198" t="str">
        <f>IF(F1078="","Belum Terisi",IF(AND(F1077="Tidak Ada",F1078&lt;&gt;0),"CEK",IF(AND(F1077&lt;&gt;"Tidak Ada",F1078=0),"CEK","")))</f>
        <v/>
      </c>
      <c r="K1078" s="31" t="str">
        <f>IF(AND(J1078="CEK",F1077="Tidak Ada"),"Tidak Ada Tanaman Obat Masuk Pasar Domestik",IF(AND(J1078="CEK",F1077="Ada"),"Ada Tanaman Obat Masuk Pasar Domestik",""))</f>
        <v/>
      </c>
      <c r="L1078" s="43"/>
      <c r="M1078" s="21"/>
      <c r="N1078" s="21"/>
      <c r="O1078" s="21"/>
      <c r="P1078" s="21"/>
      <c r="Q1078" s="21"/>
      <c r="R1078" s="21"/>
      <c r="S1078" s="21"/>
      <c r="T1078" s="21"/>
      <c r="U1078" s="21"/>
      <c r="V1078" s="21"/>
    </row>
    <row r="1079" spans="1:22" s="2" customFormat="1" ht="30" customHeight="1" x14ac:dyDescent="0.25">
      <c r="A1079" s="662"/>
      <c r="B1079" s="382" t="s">
        <v>251</v>
      </c>
      <c r="C1079" s="383" t="s">
        <v>2279</v>
      </c>
      <c r="D1079" s="100">
        <f t="shared" si="74"/>
        <v>1470</v>
      </c>
      <c r="E1079" s="427" t="s">
        <v>174</v>
      </c>
      <c r="F1079" s="697" t="s">
        <v>240</v>
      </c>
      <c r="G1079" s="924"/>
      <c r="H1079" s="922"/>
      <c r="I1079" s="923"/>
      <c r="J1079" s="198" t="str">
        <f>IF(F1079="","Belum Terisi",IF(AND(F1077&lt;&gt;"Tidak Ada",OR(LEN(F1079)&lt;5,F1079="-")),"CEK",IF(AND(F1077="Tidak Ada",OR(LEN(F1079)&gt;1,F1079&lt;&gt;"-")),"CEK","")))</f>
        <v/>
      </c>
      <c r="K1079" s="31" t="str">
        <f>IF(AND(J1079="CEK",F1077="Tidak Ada"),"Tidak Ada Tanaman Obat Masuk Pasar Domestik",IF(AND(J1079="CEK",F1077="Ada"),"Ada Tanaman Obat Masuk Pasar Domestik",""))</f>
        <v/>
      </c>
      <c r="L1079" s="43"/>
      <c r="M1079" s="21"/>
      <c r="N1079" s="21"/>
      <c r="O1079" s="21"/>
      <c r="P1079" s="21"/>
      <c r="Q1079" s="21"/>
      <c r="R1079" s="21"/>
      <c r="S1079" s="21"/>
      <c r="T1079" s="21"/>
      <c r="U1079" s="21"/>
      <c r="V1079" s="21"/>
    </row>
    <row r="1080" spans="1:22" s="2" customFormat="1" ht="30" customHeight="1" x14ac:dyDescent="0.25">
      <c r="A1080" s="613" t="s">
        <v>203</v>
      </c>
      <c r="B1080" s="298"/>
      <c r="C1080" s="298"/>
      <c r="D1080" s="519"/>
      <c r="E1080" s="429"/>
      <c r="F1080" s="714"/>
      <c r="G1080" s="924"/>
      <c r="H1080" s="922"/>
      <c r="I1080" s="923"/>
      <c r="J1080" s="98"/>
      <c r="K1080" s="31"/>
      <c r="L1080" s="31"/>
      <c r="M1080" s="21"/>
      <c r="N1080" s="21"/>
      <c r="O1080" s="21"/>
      <c r="P1080" s="21"/>
      <c r="Q1080" s="21"/>
      <c r="R1080" s="21"/>
      <c r="S1080" s="21"/>
      <c r="T1080" s="21"/>
      <c r="U1080" s="21"/>
      <c r="V1080" s="21"/>
    </row>
    <row r="1081" spans="1:22" s="2" customFormat="1" ht="30" customHeight="1" x14ac:dyDescent="0.25">
      <c r="A1081" s="613" t="s">
        <v>208</v>
      </c>
      <c r="B1081" s="298"/>
      <c r="C1081" s="298"/>
      <c r="D1081" s="520"/>
      <c r="E1081" s="429"/>
      <c r="F1081" s="714"/>
      <c r="G1081" s="924"/>
      <c r="H1081" s="922"/>
      <c r="I1081" s="923"/>
      <c r="J1081" s="98"/>
      <c r="K1081" s="31"/>
      <c r="L1081" s="43"/>
      <c r="M1081" s="21"/>
      <c r="N1081" s="21"/>
      <c r="O1081" s="21"/>
      <c r="P1081" s="21"/>
      <c r="Q1081" s="21"/>
      <c r="R1081" s="21"/>
      <c r="S1081" s="21"/>
      <c r="T1081" s="21"/>
      <c r="U1081" s="21"/>
      <c r="V1081" s="21"/>
    </row>
    <row r="1082" spans="1:22" s="2" customFormat="1" ht="30" customHeight="1" x14ac:dyDescent="0.25">
      <c r="A1082" s="661">
        <f>A1077+1</f>
        <v>319</v>
      </c>
      <c r="B1082" s="382" t="s">
        <v>41</v>
      </c>
      <c r="C1082" s="383" t="s">
        <v>2262</v>
      </c>
      <c r="D1082" s="100">
        <f>D1079+1</f>
        <v>1471</v>
      </c>
      <c r="E1082" s="427" t="s">
        <v>171</v>
      </c>
      <c r="F1082" s="693" t="s">
        <v>263</v>
      </c>
      <c r="G1082" s="924"/>
      <c r="H1082" s="928" t="s">
        <v>678</v>
      </c>
      <c r="I1082" s="923"/>
      <c r="J1082" s="198" t="str">
        <f>IF(LEN(F1082)&gt;0,"","Belum Terisi")</f>
        <v/>
      </c>
      <c r="K1082" s="31"/>
      <c r="L1082" s="43"/>
      <c r="M1082" s="21"/>
      <c r="N1082" s="21"/>
      <c r="O1082" s="21"/>
      <c r="P1082" s="21"/>
      <c r="Q1082" s="21"/>
      <c r="R1082" s="21"/>
      <c r="S1082" s="21"/>
      <c r="T1082" s="21"/>
      <c r="U1082" s="21"/>
      <c r="V1082" s="21"/>
    </row>
    <row r="1083" spans="1:22" s="2" customFormat="1" ht="40.15" customHeight="1" x14ac:dyDescent="0.25">
      <c r="A1083" s="663"/>
      <c r="B1083" s="382" t="s">
        <v>139</v>
      </c>
      <c r="C1083" s="383" t="s">
        <v>2264</v>
      </c>
      <c r="D1083" s="100">
        <f>D1082+1</f>
        <v>1472</v>
      </c>
      <c r="E1083" s="427" t="s">
        <v>188</v>
      </c>
      <c r="F1083" s="843">
        <v>0</v>
      </c>
      <c r="G1083" s="924"/>
      <c r="H1083" s="960" t="s">
        <v>557</v>
      </c>
      <c r="I1083" s="923"/>
      <c r="J1083" s="198" t="str">
        <f>IF(F1083="","Belum Terisi",IF(AND(F1082="Tidak Ada",F1083&lt;&gt;0),"CEK",IF(AND(F1082&lt;&gt;"Tidak Ada",F1083=0),"CEK","")))</f>
        <v/>
      </c>
      <c r="K1083" s="31" t="str">
        <f>IF(AND(J1083="CEK",F1082="Tidak Ada"),"Tidak Ada Tanaman Pangan Masuk Pasar Ekspor",IF(AND(J1083="CEK",F1082="Ada"),"Ada Tanaman Pangan Masuk Pasar Ekspor",""))</f>
        <v/>
      </c>
      <c r="L1083" s="43"/>
      <c r="M1083" s="21"/>
      <c r="N1083" s="21"/>
      <c r="O1083" s="21"/>
      <c r="P1083" s="21"/>
      <c r="Q1083" s="21"/>
      <c r="R1083" s="21"/>
      <c r="S1083" s="21"/>
      <c r="T1083" s="21"/>
      <c r="U1083" s="21"/>
      <c r="V1083" s="21"/>
    </row>
    <row r="1084" spans="1:22" s="2" customFormat="1" ht="30" customHeight="1" x14ac:dyDescent="0.25">
      <c r="A1084" s="662"/>
      <c r="B1084" s="382" t="s">
        <v>251</v>
      </c>
      <c r="C1084" s="383" t="s">
        <v>2550</v>
      </c>
      <c r="D1084" s="100">
        <f t="shared" ref="D1084:D1087" si="75">D1083+1</f>
        <v>1473</v>
      </c>
      <c r="E1084" s="427" t="s">
        <v>174</v>
      </c>
      <c r="F1084" s="697" t="s">
        <v>240</v>
      </c>
      <c r="G1084" s="924"/>
      <c r="H1084" s="922"/>
      <c r="I1084" s="923"/>
      <c r="J1084" s="198" t="str">
        <f>IF(F1084="","Belum Terisi",IF(AND(F1082&lt;&gt;"Tidak Ada",OR(LEN(F1084)&lt;5,F1084="-")),"CEK",IF(AND(F1082="Tidak Ada",OR(LEN(F1084)&gt;1,F1084&lt;&gt;"-")),"CEK","")))</f>
        <v/>
      </c>
      <c r="K1084" s="31" t="str">
        <f>IF(AND(J1084="CEK",F1082="Tidak Ada"),"Tidak Ada Tanaman Pangan Masuk Pasar Ekspor",IF(AND(J1084="CEK",F1082="Ada"),"Ada Tanaman Pangan Masuk Pasar Ekspor",""))</f>
        <v/>
      </c>
      <c r="L1084" s="31"/>
      <c r="M1084" s="21"/>
      <c r="N1084" s="21"/>
      <c r="O1084" s="21"/>
      <c r="P1084" s="21"/>
      <c r="Q1084" s="21"/>
      <c r="R1084" s="21"/>
      <c r="S1084" s="21"/>
      <c r="T1084" s="21"/>
      <c r="U1084" s="21"/>
      <c r="V1084" s="21"/>
    </row>
    <row r="1085" spans="1:22" s="2" customFormat="1" ht="30" customHeight="1" x14ac:dyDescent="0.25">
      <c r="A1085" s="661">
        <f>A1082+1</f>
        <v>320</v>
      </c>
      <c r="B1085" s="382" t="s">
        <v>41</v>
      </c>
      <c r="C1085" s="383" t="s">
        <v>2263</v>
      </c>
      <c r="D1085" s="100">
        <f t="shared" si="75"/>
        <v>1474</v>
      </c>
      <c r="E1085" s="427" t="s">
        <v>171</v>
      </c>
      <c r="F1085" s="693" t="s">
        <v>263</v>
      </c>
      <c r="G1085" s="924"/>
      <c r="H1085" s="922"/>
      <c r="I1085" s="923"/>
      <c r="J1085" s="198" t="str">
        <f>IF(F1085="","Belum Terisi",IF(AND(F1082="Tidak Ada",F1085&lt;&gt;"Tidak Ada"),"CEK",""))</f>
        <v/>
      </c>
      <c r="K1085" s="31" t="str">
        <f>IF(J1085="CEK","Produk Unggulan Pangan Pertama diisi Terlebih Dahulu","")</f>
        <v/>
      </c>
      <c r="L1085" s="43"/>
      <c r="M1085" s="21"/>
      <c r="N1085" s="21"/>
      <c r="O1085" s="21"/>
      <c r="P1085" s="21"/>
      <c r="Q1085" s="21"/>
      <c r="R1085" s="21"/>
      <c r="S1085" s="21"/>
      <c r="T1085" s="21"/>
      <c r="U1085" s="21"/>
      <c r="V1085" s="21"/>
    </row>
    <row r="1086" spans="1:22" s="2" customFormat="1" ht="40.15" customHeight="1" x14ac:dyDescent="0.25">
      <c r="A1086" s="663"/>
      <c r="B1086" s="382" t="s">
        <v>139</v>
      </c>
      <c r="C1086" s="383" t="s">
        <v>2265</v>
      </c>
      <c r="D1086" s="100">
        <f t="shared" si="75"/>
        <v>1475</v>
      </c>
      <c r="E1086" s="427" t="s">
        <v>188</v>
      </c>
      <c r="F1086" s="843">
        <v>0</v>
      </c>
      <c r="G1086" s="924"/>
      <c r="H1086" s="960" t="s">
        <v>557</v>
      </c>
      <c r="I1086" s="923"/>
      <c r="J1086" s="198" t="str">
        <f>IF(F1086="","Belum Terisi",IF(AND(F1085="Tidak Ada",F1086&lt;&gt;0),"CEK",IF(AND(F1085&lt;&gt;"Tidak Ada",F1086=0),"CEK","")))</f>
        <v/>
      </c>
      <c r="K1086" s="31" t="str">
        <f>IF(AND(J1086="CEK",F1085="Tidak Ada"),"Tidak Ada Tanaman Pangan Masuk Pasar Ekspor",IF(AND(J1086="CEK",F1085="Ada"),"Ada Tanaman Pangan Masuk Pasar Ekspor",""))</f>
        <v/>
      </c>
      <c r="L1086" s="43"/>
      <c r="M1086" s="21"/>
      <c r="N1086" s="21"/>
      <c r="O1086" s="21"/>
      <c r="P1086" s="21"/>
      <c r="Q1086" s="21"/>
      <c r="R1086" s="21"/>
      <c r="S1086" s="21"/>
      <c r="T1086" s="21"/>
      <c r="U1086" s="21"/>
      <c r="V1086" s="21"/>
    </row>
    <row r="1087" spans="1:22" s="2" customFormat="1" ht="30" customHeight="1" x14ac:dyDescent="0.25">
      <c r="A1087" s="662"/>
      <c r="B1087" s="382" t="s">
        <v>251</v>
      </c>
      <c r="C1087" s="383" t="s">
        <v>2551</v>
      </c>
      <c r="D1087" s="100">
        <f t="shared" si="75"/>
        <v>1476</v>
      </c>
      <c r="E1087" s="427" t="s">
        <v>174</v>
      </c>
      <c r="F1087" s="697" t="s">
        <v>240</v>
      </c>
      <c r="G1087" s="924"/>
      <c r="H1087" s="922"/>
      <c r="I1087" s="923"/>
      <c r="J1087" s="198" t="str">
        <f>IF(F1087="","Belum Terisi",IF(AND(F1085&lt;&gt;"Tidak Ada",OR(LEN(F1087)&lt;5,F1087="-")),"CEK",IF(AND(F1085="Tidak Ada",OR(LEN(F1087)&gt;1,F1087&lt;&gt;"-")),"CEK","")))</f>
        <v/>
      </c>
      <c r="K1087" s="31" t="str">
        <f>IF(AND(J1087="CEK",F1085="Tidak Ada"),"Tidak Ada Tanaman Pangan Masuk Pasar Ekspor",IF(AND(J1087="CEK",F1085="Ada"),"Ada Tanaman Pangan Masuk Pasar Ekspor",""))</f>
        <v/>
      </c>
      <c r="L1087" s="43"/>
      <c r="M1087" s="21"/>
      <c r="N1087" s="21"/>
      <c r="O1087" s="21"/>
      <c r="P1087" s="21"/>
      <c r="Q1087" s="21"/>
      <c r="R1087" s="21"/>
      <c r="S1087" s="21"/>
      <c r="T1087" s="21"/>
      <c r="U1087" s="21"/>
      <c r="V1087" s="21"/>
    </row>
    <row r="1088" spans="1:22" s="2" customFormat="1" ht="30" customHeight="1" x14ac:dyDescent="0.25">
      <c r="A1088" s="613" t="s">
        <v>207</v>
      </c>
      <c r="B1088" s="298"/>
      <c r="C1088" s="298"/>
      <c r="D1088" s="428"/>
      <c r="E1088" s="429"/>
      <c r="F1088" s="714"/>
      <c r="G1088" s="924"/>
      <c r="H1088" s="922"/>
      <c r="I1088" s="923"/>
      <c r="J1088" s="98"/>
      <c r="K1088" s="31"/>
      <c r="L1088" s="31"/>
      <c r="M1088" s="21"/>
      <c r="N1088" s="21"/>
      <c r="O1088" s="21"/>
      <c r="P1088" s="21"/>
      <c r="Q1088" s="21"/>
      <c r="R1088" s="21"/>
      <c r="S1088" s="21"/>
      <c r="T1088" s="21"/>
      <c r="U1088" s="21"/>
      <c r="V1088" s="21"/>
    </row>
    <row r="1089" spans="1:22" s="2" customFormat="1" ht="30" customHeight="1" x14ac:dyDescent="0.25">
      <c r="A1089" s="661">
        <f>A1085+1</f>
        <v>321</v>
      </c>
      <c r="B1089" s="382" t="s">
        <v>41</v>
      </c>
      <c r="C1089" s="383" t="s">
        <v>2534</v>
      </c>
      <c r="D1089" s="100">
        <f>D1087+1</f>
        <v>1477</v>
      </c>
      <c r="E1089" s="427" t="s">
        <v>171</v>
      </c>
      <c r="F1089" s="693" t="s">
        <v>263</v>
      </c>
      <c r="G1089" s="924"/>
      <c r="H1089" s="922"/>
      <c r="I1089" s="923"/>
      <c r="J1089" s="198" t="str">
        <f>IF(LEN(F1089)&gt;0,"","Belum Terisi")</f>
        <v/>
      </c>
      <c r="K1089" s="31"/>
      <c r="L1089" s="43"/>
      <c r="M1089" s="21"/>
      <c r="N1089" s="21"/>
      <c r="O1089" s="21"/>
      <c r="P1089" s="21"/>
      <c r="Q1089" s="21"/>
      <c r="R1089" s="21"/>
      <c r="S1089" s="21"/>
      <c r="T1089" s="21"/>
      <c r="U1089" s="21"/>
      <c r="V1089" s="21"/>
    </row>
    <row r="1090" spans="1:22" s="2" customFormat="1" ht="40.15" customHeight="1" x14ac:dyDescent="0.25">
      <c r="A1090" s="663"/>
      <c r="B1090" s="382" t="s">
        <v>139</v>
      </c>
      <c r="C1090" s="383" t="s">
        <v>2266</v>
      </c>
      <c r="D1090" s="100">
        <f>D1089+1</f>
        <v>1478</v>
      </c>
      <c r="E1090" s="427" t="s">
        <v>188</v>
      </c>
      <c r="F1090" s="843">
        <v>0</v>
      </c>
      <c r="G1090" s="924"/>
      <c r="H1090" s="960" t="s">
        <v>557</v>
      </c>
      <c r="I1090" s="923"/>
      <c r="J1090" s="198" t="str">
        <f>IF(F1090="","Belum Terisi",IF(AND(F1089="Tidak Ada",F1090&lt;&gt;0),"CEK",IF(AND(F1089&lt;&gt;"Tidak Ada",F1090=0),"CEK","")))</f>
        <v/>
      </c>
      <c r="K1090" s="31" t="str">
        <f>IF(AND(J1090="CEK",F1089="Tidak Ada"),"Tidak Ada Tanaman Buah Masuk Pasar Ekspor",IF(AND(J1090="CEK",F1089="Ada"),"Ada Tanaman Buah Masuk Pasar Ekspor",""))</f>
        <v/>
      </c>
      <c r="L1090" s="43"/>
      <c r="M1090" s="21"/>
      <c r="N1090" s="21"/>
      <c r="O1090" s="21"/>
      <c r="P1090" s="21"/>
      <c r="Q1090" s="21"/>
      <c r="R1090" s="21"/>
      <c r="S1090" s="21"/>
      <c r="T1090" s="21"/>
      <c r="U1090" s="21"/>
      <c r="V1090" s="21"/>
    </row>
    <row r="1091" spans="1:22" s="2" customFormat="1" ht="30" customHeight="1" x14ac:dyDescent="0.25">
      <c r="A1091" s="662"/>
      <c r="B1091" s="382" t="s">
        <v>251</v>
      </c>
      <c r="C1091" s="383" t="s">
        <v>2548</v>
      </c>
      <c r="D1091" s="100">
        <f t="shared" ref="D1091:D1094" si="76">D1090+1</f>
        <v>1479</v>
      </c>
      <c r="E1091" s="427" t="s">
        <v>174</v>
      </c>
      <c r="F1091" s="697" t="s">
        <v>240</v>
      </c>
      <c r="G1091" s="924"/>
      <c r="H1091" s="922"/>
      <c r="I1091" s="923"/>
      <c r="J1091" s="198" t="str">
        <f>IF(F1091="","Belum Terisi",IF(AND(F1089&lt;&gt;"Tidak Ada",OR(LEN(F1091)&lt;3,F1091="-")),"CEK",IF(AND(F1089="Tidak Ada",OR(LEN(F1091)&gt;1,F1091&lt;&gt;"-")),"CEK","")))</f>
        <v/>
      </c>
      <c r="K1091" s="31" t="str">
        <f>IF(AND(J1091="CEK",F1089="Tidak Ada"),"Tidak Ada Tanaman Buah Masuk Pasar Ekspor",IF(AND(J1091="CEK",F1089="Ada"),"Ada Tanaman Buah Masuk Pasar Ekspor",""))</f>
        <v/>
      </c>
      <c r="L1091" s="43"/>
      <c r="M1091" s="21"/>
      <c r="N1091" s="21"/>
      <c r="O1091" s="21"/>
      <c r="P1091" s="21"/>
      <c r="Q1091" s="21"/>
      <c r="R1091" s="21"/>
      <c r="S1091" s="21"/>
      <c r="T1091" s="21"/>
      <c r="U1091" s="21"/>
      <c r="V1091" s="21"/>
    </row>
    <row r="1092" spans="1:22" s="2" customFormat="1" ht="30" customHeight="1" x14ac:dyDescent="0.25">
      <c r="A1092" s="661">
        <f>A1089+1</f>
        <v>322</v>
      </c>
      <c r="B1092" s="382" t="s">
        <v>41</v>
      </c>
      <c r="C1092" s="383" t="s">
        <v>2535</v>
      </c>
      <c r="D1092" s="100">
        <f t="shared" si="76"/>
        <v>1480</v>
      </c>
      <c r="E1092" s="427" t="s">
        <v>171</v>
      </c>
      <c r="F1092" s="693" t="s">
        <v>263</v>
      </c>
      <c r="G1092" s="924"/>
      <c r="H1092" s="922"/>
      <c r="I1092" s="923"/>
      <c r="J1092" s="198" t="str">
        <f>IF(F1092="","Belum Terisi",IF(AND(F1089="Tidak Ada",F1092&lt;&gt;"Tidak Ada"),"CEK",""))</f>
        <v/>
      </c>
      <c r="K1092" s="31" t="str">
        <f>IF(J1092="CEK","Produk Unggulan Buah Pertama diisi Terlebih Dahulu","")</f>
        <v/>
      </c>
      <c r="L1092" s="31"/>
      <c r="M1092" s="21"/>
      <c r="N1092" s="21"/>
      <c r="O1092" s="21"/>
      <c r="P1092" s="21"/>
      <c r="Q1092" s="21"/>
      <c r="R1092" s="21"/>
      <c r="S1092" s="21"/>
      <c r="T1092" s="21"/>
      <c r="U1092" s="21"/>
      <c r="V1092" s="21"/>
    </row>
    <row r="1093" spans="1:22" s="2" customFormat="1" ht="30" customHeight="1" x14ac:dyDescent="0.25">
      <c r="A1093" s="663"/>
      <c r="B1093" s="382" t="s">
        <v>139</v>
      </c>
      <c r="C1093" s="383" t="s">
        <v>2536</v>
      </c>
      <c r="D1093" s="100">
        <f t="shared" si="76"/>
        <v>1481</v>
      </c>
      <c r="E1093" s="427" t="s">
        <v>188</v>
      </c>
      <c r="F1093" s="843">
        <v>0</v>
      </c>
      <c r="G1093" s="924"/>
      <c r="H1093" s="960" t="s">
        <v>557</v>
      </c>
      <c r="I1093" s="923"/>
      <c r="J1093" s="198" t="str">
        <f>IF(F1093="","Belum Terisi",IF(AND(F1092="Tidak Ada",F1093&lt;&gt;0),"CEK",IF(AND(F1092&lt;&gt;"Tidak Ada",F1093=0),"CEK","")))</f>
        <v/>
      </c>
      <c r="K1093" s="31" t="str">
        <f>IF(AND(J1093="CEK",F1092="Tidak Ada"),"Tidak Ada Tanaman Buah Masuk Pasar Ekspor",IF(AND(J1093="CEK",F1092="Ada"),"Ada Tanaman Buah Masuk Pasar Ekspor",""))</f>
        <v/>
      </c>
      <c r="L1093" s="43"/>
      <c r="M1093" s="21"/>
      <c r="N1093" s="21"/>
      <c r="O1093" s="21"/>
      <c r="P1093" s="21"/>
      <c r="Q1093" s="21"/>
      <c r="R1093" s="21"/>
      <c r="S1093" s="21"/>
      <c r="T1093" s="21"/>
      <c r="U1093" s="21"/>
      <c r="V1093" s="21"/>
    </row>
    <row r="1094" spans="1:22" s="2" customFormat="1" ht="30" customHeight="1" x14ac:dyDescent="0.25">
      <c r="A1094" s="662"/>
      <c r="B1094" s="382" t="s">
        <v>251</v>
      </c>
      <c r="C1094" s="383" t="s">
        <v>2549</v>
      </c>
      <c r="D1094" s="100">
        <f t="shared" si="76"/>
        <v>1482</v>
      </c>
      <c r="E1094" s="427" t="s">
        <v>174</v>
      </c>
      <c r="F1094" s="697" t="s">
        <v>240</v>
      </c>
      <c r="G1094" s="924"/>
      <c r="H1094" s="922"/>
      <c r="I1094" s="923"/>
      <c r="J1094" s="198" t="str">
        <f>IF(F1094="","Belum Terisi",IF(AND(F1092&lt;&gt;"Tidak Ada",OR(LEN(F1094)&lt;3,F1094="-")),"CEK",IF(AND(F1092="Tidak Ada",OR(LEN(F1094)&gt;1,F1094&lt;&gt;"-")),"CEK","")))</f>
        <v/>
      </c>
      <c r="K1094" s="31" t="str">
        <f>IF(AND(J1094="CEK",F1092="Tidak Ada"),"Tidak Ada Tanaman Buah Masuk Pasar Ekspor",IF(AND(J1094="CEK",F1092="Ada"),"Ada Tanaman Buah Masuk Pasar Ekspor",""))</f>
        <v/>
      </c>
      <c r="L1094" s="43"/>
      <c r="M1094" s="21"/>
      <c r="N1094" s="21"/>
      <c r="O1094" s="21"/>
      <c r="P1094" s="21"/>
      <c r="Q1094" s="21"/>
      <c r="R1094" s="21"/>
      <c r="S1094" s="21"/>
      <c r="T1094" s="21"/>
      <c r="U1094" s="21"/>
      <c r="V1094" s="21"/>
    </row>
    <row r="1095" spans="1:22" s="2" customFormat="1" ht="30" customHeight="1" x14ac:dyDescent="0.25">
      <c r="A1095" s="613" t="s">
        <v>206</v>
      </c>
      <c r="B1095" s="298"/>
      <c r="C1095" s="298"/>
      <c r="D1095" s="428"/>
      <c r="E1095" s="429"/>
      <c r="F1095" s="714"/>
      <c r="G1095" s="924"/>
      <c r="H1095" s="922"/>
      <c r="I1095" s="923"/>
      <c r="J1095" s="98"/>
      <c r="K1095" s="31"/>
      <c r="L1095" s="43"/>
      <c r="M1095" s="21"/>
      <c r="N1095" s="21"/>
      <c r="O1095" s="21"/>
      <c r="P1095" s="21"/>
      <c r="Q1095" s="21"/>
      <c r="R1095" s="21"/>
      <c r="S1095" s="21"/>
      <c r="T1095" s="21"/>
      <c r="U1095" s="21"/>
      <c r="V1095" s="21"/>
    </row>
    <row r="1096" spans="1:22" s="2" customFormat="1" ht="30" customHeight="1" x14ac:dyDescent="0.25">
      <c r="A1096" s="661">
        <f>A1092+1</f>
        <v>323</v>
      </c>
      <c r="B1096" s="382" t="s">
        <v>41</v>
      </c>
      <c r="C1096" s="383" t="s">
        <v>2530</v>
      </c>
      <c r="D1096" s="100">
        <f>D1094+1</f>
        <v>1483</v>
      </c>
      <c r="E1096" s="427" t="s">
        <v>171</v>
      </c>
      <c r="F1096" s="693" t="s">
        <v>263</v>
      </c>
      <c r="G1096" s="924"/>
      <c r="H1096" s="922"/>
      <c r="I1096" s="923"/>
      <c r="J1096" s="198" t="str">
        <f>IF(LEN(F1096)&gt;0,"","Belum Terisi")</f>
        <v/>
      </c>
      <c r="K1096" s="31"/>
      <c r="L1096" s="31"/>
      <c r="M1096" s="21"/>
      <c r="N1096" s="21"/>
      <c r="O1096" s="21"/>
      <c r="P1096" s="21"/>
      <c r="Q1096" s="21"/>
      <c r="R1096" s="21"/>
      <c r="S1096" s="21"/>
      <c r="T1096" s="21"/>
      <c r="U1096" s="21"/>
      <c r="V1096" s="21"/>
    </row>
    <row r="1097" spans="1:22" s="2" customFormat="1" ht="40.15" customHeight="1" x14ac:dyDescent="0.25">
      <c r="A1097" s="663"/>
      <c r="B1097" s="382" t="s">
        <v>139</v>
      </c>
      <c r="C1097" s="383" t="s">
        <v>2531</v>
      </c>
      <c r="D1097" s="100">
        <f>D1096+1</f>
        <v>1484</v>
      </c>
      <c r="E1097" s="427" t="s">
        <v>188</v>
      </c>
      <c r="F1097" s="843">
        <v>0</v>
      </c>
      <c r="G1097" s="924"/>
      <c r="H1097" s="960" t="s">
        <v>557</v>
      </c>
      <c r="I1097" s="923"/>
      <c r="J1097" s="198" t="str">
        <f>IF(F1097="","Belum Terisi",IF(AND(F1096="Tidak Ada",F1097&lt;&gt;0),"CEK",IF(AND(F1096&lt;&gt;"Tidak Ada",F1097=0),"CEK","")))</f>
        <v/>
      </c>
      <c r="K1097" s="31" t="str">
        <f>IF(AND(J1097="CEK",F1096="Tidak Ada"),"Tidak Ada Tanaman Sayur Masuk Pasar Ekspor",IF(AND(J1097="CEK",F1096="Ada"),"Ada Tanaman Sayur Masuk Pasar Ekspor",""))</f>
        <v/>
      </c>
      <c r="L1097" s="43"/>
      <c r="M1097" s="21"/>
      <c r="N1097" s="21"/>
      <c r="O1097" s="21"/>
      <c r="P1097" s="21"/>
      <c r="Q1097" s="21"/>
      <c r="R1097" s="21"/>
      <c r="S1097" s="21"/>
      <c r="T1097" s="21"/>
      <c r="U1097" s="21"/>
      <c r="V1097" s="21"/>
    </row>
    <row r="1098" spans="1:22" s="2" customFormat="1" ht="30" customHeight="1" x14ac:dyDescent="0.25">
      <c r="A1098" s="662"/>
      <c r="B1098" s="382" t="s">
        <v>251</v>
      </c>
      <c r="C1098" s="383" t="s">
        <v>2546</v>
      </c>
      <c r="D1098" s="100">
        <f t="shared" ref="D1098:D1101" si="77">D1097+1</f>
        <v>1485</v>
      </c>
      <c r="E1098" s="427" t="s">
        <v>174</v>
      </c>
      <c r="F1098" s="697" t="s">
        <v>240</v>
      </c>
      <c r="G1098" s="924"/>
      <c r="H1098" s="922"/>
      <c r="I1098" s="923"/>
      <c r="J1098" s="198" t="str">
        <f>IF(F1098="","Belum Terisi",IF(AND(F1096&lt;&gt;"Tidak Ada",OR(LEN(F1098)&lt;5,F1098="-")),"CEK",IF(AND(F1096="Tidak Ada",OR(LEN(F1098)&gt;1,F1098&lt;&gt;"-")),"CEK","")))</f>
        <v/>
      </c>
      <c r="K1098" s="31" t="str">
        <f>IF(AND(J1098="CEK",F1096="Tidak Ada"),"Tidak Ada Tanaman Sayur Masuk Pasar Ekspor",IF(AND(J1098="CEK",F1096="Ada"),"Ada Tanaman Sayur Masuk Pasar Ekspor",""))</f>
        <v/>
      </c>
      <c r="L1098" s="43"/>
      <c r="M1098" s="21"/>
      <c r="N1098" s="21"/>
      <c r="O1098" s="21"/>
      <c r="P1098" s="21"/>
      <c r="Q1098" s="21"/>
      <c r="R1098" s="21"/>
      <c r="S1098" s="21"/>
      <c r="T1098" s="21"/>
      <c r="U1098" s="21"/>
      <c r="V1098" s="21"/>
    </row>
    <row r="1099" spans="1:22" s="2" customFormat="1" ht="30" customHeight="1" x14ac:dyDescent="0.25">
      <c r="A1099" s="661">
        <f>A1096+1</f>
        <v>324</v>
      </c>
      <c r="B1099" s="382" t="s">
        <v>41</v>
      </c>
      <c r="C1099" s="383" t="s">
        <v>2532</v>
      </c>
      <c r="D1099" s="100">
        <f t="shared" si="77"/>
        <v>1486</v>
      </c>
      <c r="E1099" s="427" t="s">
        <v>171</v>
      </c>
      <c r="F1099" s="693" t="s">
        <v>263</v>
      </c>
      <c r="G1099" s="924"/>
      <c r="H1099" s="922"/>
      <c r="I1099" s="923"/>
      <c r="J1099" s="198" t="str">
        <f>IF(F1099="","Belum Terisi",IF(AND(F1096="Tidak Ada",F1099&lt;&gt;"Tidak Ada"),"CEK",""))</f>
        <v/>
      </c>
      <c r="K1099" s="31" t="str">
        <f>IF(J1099="CEK","Produk Unggulan Sayur Pertama diisi Terlebih Dahulu","")</f>
        <v/>
      </c>
      <c r="L1099" s="43"/>
      <c r="M1099" s="21"/>
      <c r="N1099" s="21"/>
      <c r="O1099" s="21"/>
      <c r="P1099" s="21"/>
      <c r="Q1099" s="21"/>
      <c r="R1099" s="21"/>
      <c r="S1099" s="21"/>
      <c r="T1099" s="21"/>
      <c r="U1099" s="21"/>
      <c r="V1099" s="21"/>
    </row>
    <row r="1100" spans="1:22" s="2" customFormat="1" ht="40.15" customHeight="1" x14ac:dyDescent="0.25">
      <c r="A1100" s="663"/>
      <c r="B1100" s="382" t="s">
        <v>139</v>
      </c>
      <c r="C1100" s="383" t="s">
        <v>2533</v>
      </c>
      <c r="D1100" s="100">
        <f t="shared" si="77"/>
        <v>1487</v>
      </c>
      <c r="E1100" s="427" t="s">
        <v>188</v>
      </c>
      <c r="F1100" s="843">
        <v>0</v>
      </c>
      <c r="G1100" s="924"/>
      <c r="H1100" s="960" t="s">
        <v>557</v>
      </c>
      <c r="I1100" s="923"/>
      <c r="J1100" s="198" t="str">
        <f>IF(F1100="","Belum Terisi",IF(AND(F1099="Tidak Ada",F1100&lt;&gt;0),"CEK",IF(AND(F1099&lt;&gt;"Tidak Ada",F1100=0),"CEK","")))</f>
        <v/>
      </c>
      <c r="K1100" s="31" t="str">
        <f>IF(AND(J1100="CEK",F1099="Tidak Ada"),"Tidak Ada Tanaman Sayur Masuk Pasar Ekspor",IF(AND(J1100="CEK",F1099="Ada"),"Ada Tanaman Sayur Masuk Pasar Ekspor",""))</f>
        <v/>
      </c>
      <c r="L1100" s="31"/>
      <c r="M1100" s="21"/>
      <c r="N1100" s="21"/>
      <c r="O1100" s="21"/>
      <c r="P1100" s="21"/>
      <c r="Q1100" s="21"/>
      <c r="R1100" s="21"/>
      <c r="S1100" s="21"/>
      <c r="T1100" s="21"/>
      <c r="U1100" s="21"/>
      <c r="V1100" s="21"/>
    </row>
    <row r="1101" spans="1:22" s="2" customFormat="1" ht="30" customHeight="1" x14ac:dyDescent="0.25">
      <c r="A1101" s="662"/>
      <c r="B1101" s="382" t="s">
        <v>251</v>
      </c>
      <c r="C1101" s="383" t="s">
        <v>2547</v>
      </c>
      <c r="D1101" s="100">
        <f t="shared" si="77"/>
        <v>1488</v>
      </c>
      <c r="E1101" s="427" t="s">
        <v>174</v>
      </c>
      <c r="F1101" s="697" t="s">
        <v>240</v>
      </c>
      <c r="G1101" s="924"/>
      <c r="H1101" s="922"/>
      <c r="I1101" s="923"/>
      <c r="J1101" s="198" t="str">
        <f>IF(F1101="","Belum Terisi",IF(AND(F1099&lt;&gt;"Tidak Ada",OR(LEN(F1101)&lt;5,F1101="-")),"CEK",IF(AND(F1099="Tidak Ada",OR(LEN(F1101)&gt;1,F1101&lt;&gt;"-")),"CEK","")))</f>
        <v/>
      </c>
      <c r="K1101" s="31" t="str">
        <f>IF(AND(J1101="CEK",F1099="Tidak Ada"),"Tidak Ada Tanaman Sayur Masuk Pasar Ekspor",IF(AND(J1101="CEK",F1099="Ada"),"Ada Tanaman Sayur Masuk Pasar Ekspor",""))</f>
        <v/>
      </c>
      <c r="L1101" s="43"/>
      <c r="M1101" s="21"/>
      <c r="N1101" s="21"/>
      <c r="O1101" s="21"/>
      <c r="P1101" s="21"/>
      <c r="Q1101" s="21"/>
      <c r="R1101" s="21"/>
      <c r="S1101" s="21"/>
      <c r="T1101" s="21"/>
      <c r="U1101" s="21"/>
      <c r="V1101" s="21"/>
    </row>
    <row r="1102" spans="1:22" s="2" customFormat="1" ht="30" customHeight="1" x14ac:dyDescent="0.25">
      <c r="A1102" s="613" t="s">
        <v>2537</v>
      </c>
      <c r="B1102" s="298"/>
      <c r="C1102" s="298"/>
      <c r="D1102" s="428"/>
      <c r="E1102" s="429"/>
      <c r="F1102" s="714"/>
      <c r="G1102" s="924"/>
      <c r="H1102" s="922"/>
      <c r="I1102" s="923"/>
      <c r="J1102" s="98"/>
      <c r="K1102" s="31"/>
      <c r="L1102" s="43"/>
      <c r="M1102" s="21"/>
      <c r="N1102" s="21"/>
      <c r="O1102" s="21"/>
      <c r="P1102" s="21"/>
      <c r="Q1102" s="21"/>
      <c r="R1102" s="21"/>
      <c r="S1102" s="21"/>
      <c r="T1102" s="21"/>
      <c r="U1102" s="21"/>
      <c r="V1102" s="21"/>
    </row>
    <row r="1103" spans="1:22" s="2" customFormat="1" ht="30" customHeight="1" x14ac:dyDescent="0.25">
      <c r="A1103" s="661">
        <f>A1099+1</f>
        <v>325</v>
      </c>
      <c r="B1103" s="382" t="s">
        <v>41</v>
      </c>
      <c r="C1103" s="383" t="s">
        <v>2526</v>
      </c>
      <c r="D1103" s="100">
        <f>D1101+1</f>
        <v>1489</v>
      </c>
      <c r="E1103" s="427" t="s">
        <v>171</v>
      </c>
      <c r="F1103" s="693" t="s">
        <v>263</v>
      </c>
      <c r="G1103" s="924"/>
      <c r="H1103" s="922"/>
      <c r="I1103" s="923"/>
      <c r="J1103" s="198" t="str">
        <f>IF(LEN(F1103)&gt;0,"","Belum Terisi")</f>
        <v/>
      </c>
      <c r="K1103" s="31"/>
      <c r="L1103" s="43"/>
      <c r="M1103" s="21"/>
      <c r="N1103" s="21"/>
      <c r="O1103" s="21"/>
      <c r="P1103" s="21"/>
      <c r="Q1103" s="21"/>
      <c r="R1103" s="21"/>
      <c r="S1103" s="21"/>
      <c r="T1103" s="21"/>
      <c r="U1103" s="21"/>
      <c r="V1103" s="21"/>
    </row>
    <row r="1104" spans="1:22" s="2" customFormat="1" ht="40.15" customHeight="1" x14ac:dyDescent="0.25">
      <c r="A1104" s="663"/>
      <c r="B1104" s="382" t="s">
        <v>139</v>
      </c>
      <c r="C1104" s="383" t="s">
        <v>2527</v>
      </c>
      <c r="D1104" s="100">
        <f>D1103+1</f>
        <v>1490</v>
      </c>
      <c r="E1104" s="427" t="s">
        <v>188</v>
      </c>
      <c r="F1104" s="843">
        <v>0</v>
      </c>
      <c r="G1104" s="924"/>
      <c r="H1104" s="960" t="s">
        <v>557</v>
      </c>
      <c r="I1104" s="923"/>
      <c r="J1104" s="198" t="str">
        <f>IF(F1104="","Belum Terisi",IF(AND(F1103="Tidak Ada",F1104&lt;&gt;0),"CEK",IF(AND(F1103&lt;&gt;"Tidak Ada",F1104=0),"CEK","")))</f>
        <v/>
      </c>
      <c r="K1104" s="31" t="str">
        <f>IF(AND(J1104="CEK",F1103="Tidak Ada"),"Tidak Ada Tanaman Obat Masuk Pasar Ekspor",IF(AND(J1104="CEK",F1103="Ada"),"Ada Tanaman Obat Masuk Pasar Ekspor",""))</f>
        <v/>
      </c>
      <c r="L1104" s="31"/>
      <c r="M1104" s="21"/>
      <c r="N1104" s="21"/>
      <c r="O1104" s="21"/>
      <c r="P1104" s="21"/>
      <c r="Q1104" s="21"/>
      <c r="R1104" s="21"/>
      <c r="S1104" s="21"/>
      <c r="T1104" s="21"/>
      <c r="U1104" s="21"/>
      <c r="V1104" s="21"/>
    </row>
    <row r="1105" spans="1:22" s="2" customFormat="1" ht="30" customHeight="1" x14ac:dyDescent="0.25">
      <c r="A1105" s="662"/>
      <c r="B1105" s="382" t="s">
        <v>251</v>
      </c>
      <c r="C1105" s="383" t="s">
        <v>2544</v>
      </c>
      <c r="D1105" s="100">
        <f t="shared" ref="D1105:D1108" si="78">D1104+1</f>
        <v>1491</v>
      </c>
      <c r="E1105" s="427" t="s">
        <v>174</v>
      </c>
      <c r="F1105" s="694" t="s">
        <v>240</v>
      </c>
      <c r="G1105" s="924"/>
      <c r="H1105" s="922"/>
      <c r="I1105" s="923"/>
      <c r="J1105" s="198" t="str">
        <f>IF(F1105="","Belum Terisi",IF(AND(F1103&lt;&gt;"Tidak Ada",OR(LEN(F1105)&lt;5,F1105="-")),"CEK",IF(AND(F1103="Tidak Ada",OR(LEN(F1105)&gt;1,F1105&lt;&gt;"-")),"CEK","")))</f>
        <v/>
      </c>
      <c r="K1105" s="31" t="str">
        <f>IF(AND(J1105="CEK",F1103="Tidak Ada"),"Tidak Ada Tanaman Obat Masuk Pasar Ekspor",IF(AND(J1105="CEK",F1103="Ada"),"Ada Tanaman Obat Masuk Pasar Ekspor",""))</f>
        <v/>
      </c>
      <c r="L1105" s="43"/>
      <c r="M1105" s="21"/>
      <c r="N1105" s="21"/>
      <c r="O1105" s="21"/>
      <c r="P1105" s="21"/>
      <c r="Q1105" s="21"/>
      <c r="R1105" s="21"/>
      <c r="S1105" s="21"/>
      <c r="T1105" s="21"/>
      <c r="U1105" s="21"/>
      <c r="V1105" s="21"/>
    </row>
    <row r="1106" spans="1:22" s="2" customFormat="1" ht="30" customHeight="1" x14ac:dyDescent="0.25">
      <c r="A1106" s="661">
        <f>A1103+1</f>
        <v>326</v>
      </c>
      <c r="B1106" s="382" t="s">
        <v>41</v>
      </c>
      <c r="C1106" s="383" t="s">
        <v>2528</v>
      </c>
      <c r="D1106" s="100">
        <f t="shared" si="78"/>
        <v>1492</v>
      </c>
      <c r="E1106" s="427" t="s">
        <v>171</v>
      </c>
      <c r="F1106" s="693" t="s">
        <v>263</v>
      </c>
      <c r="G1106" s="924"/>
      <c r="H1106" s="922"/>
      <c r="I1106" s="923"/>
      <c r="J1106" s="198" t="str">
        <f>IF(F1106="","Belum Terisi",IF(AND(F1103="Tidak Ada",F1106&lt;&gt;"Tidak Ada"),"CEK",""))</f>
        <v/>
      </c>
      <c r="K1106" s="31" t="str">
        <f>IF(J1106="CEK","Produk Unggulan Obat Pertama diisi Terlebih Dahulu","")</f>
        <v/>
      </c>
      <c r="L1106" s="43"/>
      <c r="M1106" s="21"/>
      <c r="N1106" s="21"/>
      <c r="O1106" s="21"/>
      <c r="P1106" s="21"/>
      <c r="Q1106" s="21"/>
      <c r="R1106" s="21"/>
      <c r="S1106" s="21"/>
      <c r="T1106" s="21"/>
      <c r="U1106" s="21"/>
      <c r="V1106" s="21"/>
    </row>
    <row r="1107" spans="1:22" s="2" customFormat="1" ht="30" customHeight="1" x14ac:dyDescent="0.25">
      <c r="A1107" s="663"/>
      <c r="B1107" s="382" t="s">
        <v>139</v>
      </c>
      <c r="C1107" s="383" t="s">
        <v>2529</v>
      </c>
      <c r="D1107" s="100">
        <f t="shared" si="78"/>
        <v>1493</v>
      </c>
      <c r="E1107" s="427" t="s">
        <v>188</v>
      </c>
      <c r="F1107" s="843">
        <v>0</v>
      </c>
      <c r="G1107" s="924"/>
      <c r="H1107" s="960" t="s">
        <v>557</v>
      </c>
      <c r="I1107" s="923"/>
      <c r="J1107" s="198" t="str">
        <f>IF(F1107="","Belum Terisi",IF(AND(F1106="Tidak Ada",F1107&lt;&gt;0),"CEK",IF(AND(F1106&lt;&gt;"Tidak Ada",F1107=0),"CEK","")))</f>
        <v/>
      </c>
      <c r="K1107" s="31" t="str">
        <f>IF(AND(J1107="CEK",F1106="Tidak Ada"),"Tidak Ada Tanaman Obat Masuk Pasar Ekspor",IF(AND(J1107="CEK",F1106="Ada"),"Ada Tanaman Obat Masuk Pasar Ekspor",""))</f>
        <v/>
      </c>
      <c r="L1107" s="43"/>
      <c r="M1107" s="21"/>
      <c r="N1107" s="21"/>
      <c r="O1107" s="21"/>
      <c r="P1107" s="21"/>
      <c r="Q1107" s="21"/>
      <c r="R1107" s="21"/>
      <c r="S1107" s="21"/>
      <c r="T1107" s="21"/>
      <c r="U1107" s="21"/>
      <c r="V1107" s="21"/>
    </row>
    <row r="1108" spans="1:22" s="2" customFormat="1" ht="30" customHeight="1" x14ac:dyDescent="0.25">
      <c r="A1108" s="662"/>
      <c r="B1108" s="382" t="s">
        <v>251</v>
      </c>
      <c r="C1108" s="383" t="s">
        <v>2545</v>
      </c>
      <c r="D1108" s="100">
        <f t="shared" si="78"/>
        <v>1494</v>
      </c>
      <c r="E1108" s="427" t="s">
        <v>174</v>
      </c>
      <c r="F1108" s="697" t="s">
        <v>240</v>
      </c>
      <c r="G1108" s="924"/>
      <c r="H1108" s="922"/>
      <c r="I1108" s="923"/>
      <c r="J1108" s="198" t="str">
        <f>IF(F1108="","Belum Terisi",IF(AND(F1106&lt;&gt;"Tidak Ada",OR(LEN(F1108)&lt;5,F1108="-")),"CEK",IF(AND(F1106="Tidak Ada",OR(LEN(F1108)&gt;1,F1108&lt;&gt;"-")),"CEK","")))</f>
        <v/>
      </c>
      <c r="K1108" s="31" t="str">
        <f>IF(AND(J1108="CEK",F1106="Tidak Ada"),"Tidak Ada Tanaman Obat Masuk Pasar Ekspor",IF(AND(J1108="CEK",F1106="Ada"),"Ada Tanaman Obat Masuk Pasar Ekspor",""))</f>
        <v/>
      </c>
      <c r="L1108" s="31"/>
      <c r="M1108" s="21"/>
      <c r="N1108" s="21"/>
      <c r="O1108" s="21"/>
      <c r="P1108" s="21"/>
      <c r="Q1108" s="21"/>
      <c r="R1108" s="21"/>
      <c r="S1108" s="21"/>
      <c r="T1108" s="21"/>
      <c r="U1108" s="21"/>
      <c r="V1108" s="21"/>
    </row>
    <row r="1109" spans="1:22" s="2" customFormat="1" ht="30" customHeight="1" x14ac:dyDescent="0.25">
      <c r="A1109" s="613" t="s">
        <v>2554</v>
      </c>
      <c r="B1109" s="298"/>
      <c r="C1109" s="298"/>
      <c r="D1109" s="428"/>
      <c r="E1109" s="429"/>
      <c r="F1109" s="714"/>
      <c r="G1109" s="924"/>
      <c r="H1109" s="922"/>
      <c r="I1109" s="923"/>
      <c r="J1109" s="198"/>
      <c r="K1109" s="31"/>
      <c r="L1109" s="31"/>
      <c r="M1109" s="21"/>
      <c r="N1109" s="21"/>
      <c r="O1109" s="21"/>
      <c r="P1109" s="21"/>
      <c r="Q1109" s="21"/>
      <c r="R1109" s="21"/>
      <c r="S1109" s="21"/>
      <c r="T1109" s="21"/>
      <c r="U1109" s="21"/>
      <c r="V1109" s="21"/>
    </row>
    <row r="1110" spans="1:22" s="2" customFormat="1" ht="30" customHeight="1" x14ac:dyDescent="0.25">
      <c r="A1110" s="661">
        <f>A1106+1</f>
        <v>327</v>
      </c>
      <c r="B1110" s="382" t="s">
        <v>41</v>
      </c>
      <c r="C1110" s="383" t="s">
        <v>2555</v>
      </c>
      <c r="D1110" s="100">
        <f>D1108+1</f>
        <v>1495</v>
      </c>
      <c r="E1110" s="427" t="s">
        <v>171</v>
      </c>
      <c r="F1110" s="693" t="s">
        <v>263</v>
      </c>
      <c r="G1110" s="924"/>
      <c r="H1110" s="922"/>
      <c r="I1110" s="923"/>
      <c r="J1110" s="198" t="str">
        <f>IF(LEN(F1110)&gt;0,"","Belum Terisi")</f>
        <v/>
      </c>
      <c r="K1110" s="31"/>
      <c r="L1110" s="31"/>
      <c r="M1110" s="21"/>
      <c r="N1110" s="21"/>
      <c r="O1110" s="21"/>
      <c r="P1110" s="21"/>
      <c r="Q1110" s="21"/>
      <c r="R1110" s="21"/>
      <c r="S1110" s="21"/>
      <c r="T1110" s="21"/>
      <c r="U1110" s="21"/>
      <c r="V1110" s="21"/>
    </row>
    <row r="1111" spans="1:22" s="2" customFormat="1" ht="30" customHeight="1" x14ac:dyDescent="0.25">
      <c r="A1111" s="666"/>
      <c r="B1111" s="382" t="s">
        <v>139</v>
      </c>
      <c r="C1111" s="383" t="s">
        <v>2556</v>
      </c>
      <c r="D1111" s="100">
        <f t="shared" ref="D1111:D1117" si="79">D1110+1</f>
        <v>1496</v>
      </c>
      <c r="E1111" s="427" t="s">
        <v>174</v>
      </c>
      <c r="F1111" s="694" t="s">
        <v>240</v>
      </c>
      <c r="G1111" s="924"/>
      <c r="H1111" s="922"/>
      <c r="I1111" s="923"/>
      <c r="J1111" s="198" t="str">
        <f>IF(LEN(F1111)&gt;0,"","Belum Terisi")</f>
        <v/>
      </c>
      <c r="K1111" s="31"/>
      <c r="L1111" s="31"/>
      <c r="M1111" s="21"/>
      <c r="N1111" s="21"/>
      <c r="O1111" s="21"/>
      <c r="P1111" s="21"/>
      <c r="Q1111" s="21"/>
      <c r="R1111" s="21"/>
      <c r="S1111" s="21"/>
      <c r="T1111" s="21"/>
      <c r="U1111" s="21"/>
      <c r="V1111" s="21"/>
    </row>
    <row r="1112" spans="1:22" s="2" customFormat="1" ht="40.15" customHeight="1" x14ac:dyDescent="0.25">
      <c r="A1112" s="663"/>
      <c r="B1112" s="382" t="s">
        <v>251</v>
      </c>
      <c r="C1112" s="383" t="s">
        <v>2557</v>
      </c>
      <c r="D1112" s="100">
        <f t="shared" si="79"/>
        <v>1497</v>
      </c>
      <c r="E1112" s="427" t="s">
        <v>188</v>
      </c>
      <c r="F1112" s="843">
        <v>0</v>
      </c>
      <c r="G1112" s="924"/>
      <c r="H1112" s="922"/>
      <c r="I1112" s="923"/>
      <c r="J1112" s="198" t="str">
        <f>IF(F1112="","Belum Terisi",IF(AND(F1110="Tidak Ada",F1112&lt;&gt;0),"CEK",IF(AND(F1110&lt;&gt;"Tidak Ada",F1112=0),"CEK","")))</f>
        <v/>
      </c>
      <c r="K1112" s="31" t="str">
        <f>IF(AND(J1112="CEK",F1110="Tidak Ada"),"Tidak Ada Komoditas Perikanan Laut Masuk Pasar Ekspor",IF(AND(J1112="CEK",F1110="Ada"),"Ada Komoditas Perikanan Laut Masuk Pasar Ekspor",""))</f>
        <v/>
      </c>
      <c r="L1112" s="31"/>
      <c r="M1112" s="21"/>
      <c r="N1112" s="21"/>
      <c r="O1112" s="21"/>
      <c r="P1112" s="21"/>
      <c r="Q1112" s="21"/>
      <c r="R1112" s="21"/>
      <c r="S1112" s="21"/>
      <c r="T1112" s="21"/>
      <c r="U1112" s="21"/>
      <c r="V1112" s="21"/>
    </row>
    <row r="1113" spans="1:22" s="2" customFormat="1" ht="30" customHeight="1" x14ac:dyDescent="0.25">
      <c r="A1113" s="662"/>
      <c r="B1113" s="382" t="s">
        <v>255</v>
      </c>
      <c r="C1113" s="383" t="s">
        <v>2558</v>
      </c>
      <c r="D1113" s="100">
        <f t="shared" si="79"/>
        <v>1498</v>
      </c>
      <c r="E1113" s="427" t="s">
        <v>174</v>
      </c>
      <c r="F1113" s="697" t="s">
        <v>240</v>
      </c>
      <c r="G1113" s="924"/>
      <c r="H1113" s="922"/>
      <c r="I1113" s="923"/>
      <c r="J1113" s="198" t="str">
        <f>IF(F1113="","Belum Terisi",IF(AND(F1110&lt;&gt;"Tidak Ada",OR(LEN(F1113)&lt;5,F1113="-")),"CEK",IF(AND(F1110="Tidak Ada",OR(LEN(F1113)&gt;1,F1113&lt;&gt;"-")),"CEK","")))</f>
        <v/>
      </c>
      <c r="K1113" s="31" t="str">
        <f>IF(AND(J1113="CEK",F1110="Tidak Ada"),"Tidak Ada Komoditas Perikanan Laut Masuk Pasar Ekspor",IF(AND(J1113="CEK",F1110="Ada"),"Ada Komoditas Perikanan Laut Masuk Pasar Ekspor",""))</f>
        <v/>
      </c>
      <c r="L1113" s="31"/>
      <c r="M1113" s="21"/>
      <c r="N1113" s="21"/>
      <c r="O1113" s="21"/>
      <c r="P1113" s="21"/>
      <c r="Q1113" s="21"/>
      <c r="R1113" s="21"/>
      <c r="S1113" s="21"/>
      <c r="T1113" s="21"/>
      <c r="U1113" s="21"/>
      <c r="V1113" s="21"/>
    </row>
    <row r="1114" spans="1:22" s="2" customFormat="1" ht="30" customHeight="1" x14ac:dyDescent="0.25">
      <c r="A1114" s="661">
        <f>A1110+1</f>
        <v>328</v>
      </c>
      <c r="B1114" s="382" t="s">
        <v>41</v>
      </c>
      <c r="C1114" s="383" t="s">
        <v>2559</v>
      </c>
      <c r="D1114" s="100">
        <f t="shared" si="79"/>
        <v>1499</v>
      </c>
      <c r="E1114" s="427" t="s">
        <v>171</v>
      </c>
      <c r="F1114" s="693" t="s">
        <v>263</v>
      </c>
      <c r="G1114" s="924"/>
      <c r="H1114" s="922"/>
      <c r="I1114" s="923"/>
      <c r="J1114" s="198" t="str">
        <f>IF(F1114="","Belum Terisi",IF(AND(F1110="Tidak Ada",F1114&lt;&gt;"Tidak Ada"),"CEK",""))</f>
        <v/>
      </c>
      <c r="K1114" s="31" t="str">
        <f>IF(J1114="CEK","Produk Unggulan Obat Pertama diisi Terlebih Dahulu","")</f>
        <v/>
      </c>
      <c r="L1114" s="31"/>
      <c r="M1114" s="21"/>
      <c r="N1114" s="21"/>
      <c r="O1114" s="21"/>
      <c r="P1114" s="21"/>
      <c r="Q1114" s="21"/>
      <c r="R1114" s="21"/>
      <c r="S1114" s="21"/>
      <c r="T1114" s="21"/>
      <c r="U1114" s="21"/>
      <c r="V1114" s="21"/>
    </row>
    <row r="1115" spans="1:22" s="2" customFormat="1" ht="30" customHeight="1" x14ac:dyDescent="0.25">
      <c r="A1115" s="666"/>
      <c r="B1115" s="382" t="s">
        <v>139</v>
      </c>
      <c r="C1115" s="383" t="s">
        <v>2556</v>
      </c>
      <c r="D1115" s="100">
        <f t="shared" si="79"/>
        <v>1500</v>
      </c>
      <c r="E1115" s="427" t="s">
        <v>174</v>
      </c>
      <c r="F1115" s="694" t="s">
        <v>240</v>
      </c>
      <c r="G1115" s="924"/>
      <c r="H1115" s="922"/>
      <c r="I1115" s="923"/>
      <c r="J1115" s="198" t="str">
        <f>IF(LEN(F1115)&gt;0,"","Belum Terisi")</f>
        <v/>
      </c>
      <c r="K1115" s="31"/>
      <c r="L1115" s="31"/>
      <c r="M1115" s="21"/>
      <c r="N1115" s="21"/>
      <c r="O1115" s="21"/>
      <c r="P1115" s="21"/>
      <c r="Q1115" s="21"/>
      <c r="R1115" s="21"/>
      <c r="S1115" s="21"/>
      <c r="T1115" s="21"/>
      <c r="U1115" s="21"/>
      <c r="V1115" s="21"/>
    </row>
    <row r="1116" spans="1:22" s="2" customFormat="1" ht="30" customHeight="1" x14ac:dyDescent="0.25">
      <c r="A1116" s="663"/>
      <c r="B1116" s="382" t="s">
        <v>251</v>
      </c>
      <c r="C1116" s="383" t="s">
        <v>2560</v>
      </c>
      <c r="D1116" s="100">
        <f t="shared" si="79"/>
        <v>1501</v>
      </c>
      <c r="E1116" s="427" t="s">
        <v>188</v>
      </c>
      <c r="F1116" s="843">
        <v>0</v>
      </c>
      <c r="G1116" s="924"/>
      <c r="H1116" s="922"/>
      <c r="I1116" s="923"/>
      <c r="J1116" s="198" t="str">
        <f>IF(F1116="","Belum Terisi",IF(AND(F1114="Tidak Ada",F1116&lt;&gt;0),"CEK",IF(AND(F1114&lt;&gt;"Tidak Ada",F1116=0),"CEK","")))</f>
        <v/>
      </c>
      <c r="K1116" s="31" t="str">
        <f>IF(AND(J1116="CEK",F1114="Tidak Ada"),"Tidak Ada Komoditas Perikanan Laut Masuk Pasar Ekspor",IF(AND(J1116="CEK",F1114="Ada"),"Ada Komoditas Perikanan Laut Masuk Pasar Ekspor",""))</f>
        <v/>
      </c>
      <c r="L1116" s="31"/>
      <c r="M1116" s="21"/>
      <c r="N1116" s="21"/>
      <c r="O1116" s="21"/>
      <c r="P1116" s="21"/>
      <c r="Q1116" s="21"/>
      <c r="R1116" s="21"/>
      <c r="S1116" s="21"/>
      <c r="T1116" s="21"/>
      <c r="U1116" s="21"/>
      <c r="V1116" s="21"/>
    </row>
    <row r="1117" spans="1:22" s="2" customFormat="1" ht="30" customHeight="1" x14ac:dyDescent="0.25">
      <c r="A1117" s="662"/>
      <c r="B1117" s="382" t="s">
        <v>255</v>
      </c>
      <c r="C1117" s="383" t="s">
        <v>2561</v>
      </c>
      <c r="D1117" s="100">
        <f t="shared" si="79"/>
        <v>1502</v>
      </c>
      <c r="E1117" s="427" t="s">
        <v>174</v>
      </c>
      <c r="F1117" s="697" t="s">
        <v>240</v>
      </c>
      <c r="G1117" s="924"/>
      <c r="H1117" s="922"/>
      <c r="I1117" s="923"/>
      <c r="J1117" s="198" t="str">
        <f>IF(F1117="","Belum Terisi",IF(AND(F1114&lt;&gt;"Tidak Ada",OR(LEN(F1117)&lt;5,F1117="-")),"CEK",IF(AND(F1114="Tidak Ada",OR(LEN(F1117)&gt;1,F1117&lt;&gt;"-")),"CEK","")))</f>
        <v/>
      </c>
      <c r="K1117" s="31" t="str">
        <f>IF(AND(J1117="CEK",F1114="Tidak Ada"),"Tidak Ada Komoditas Perikanan Laut Masuk Pasar Ekspor",IF(AND(J1117="CEK",F1114="Ada"),"Ada Komoditas Perikanan Laut Masuk Pasar Ekspor",""))</f>
        <v/>
      </c>
      <c r="L1117" s="31"/>
      <c r="M1117" s="21"/>
      <c r="N1117" s="21"/>
      <c r="O1117" s="21"/>
      <c r="P1117" s="21"/>
      <c r="Q1117" s="21"/>
      <c r="R1117" s="21"/>
      <c r="S1117" s="21"/>
      <c r="T1117" s="21"/>
      <c r="U1117" s="21"/>
      <c r="V1117" s="21"/>
    </row>
    <row r="1118" spans="1:22" s="2" customFormat="1" ht="30" customHeight="1" x14ac:dyDescent="0.25">
      <c r="A1118" s="613" t="s">
        <v>2552</v>
      </c>
      <c r="B1118" s="298"/>
      <c r="C1118" s="298"/>
      <c r="D1118" s="428"/>
      <c r="E1118" s="429"/>
      <c r="F1118" s="714"/>
      <c r="G1118" s="924"/>
      <c r="H1118" s="922"/>
      <c r="I1118" s="923"/>
      <c r="J1118" s="198"/>
      <c r="K1118" s="31"/>
      <c r="L1118" s="31"/>
      <c r="M1118" s="21"/>
      <c r="N1118" s="21"/>
      <c r="O1118" s="21"/>
      <c r="P1118" s="21"/>
      <c r="Q1118" s="21"/>
      <c r="R1118" s="21"/>
      <c r="S1118" s="21"/>
      <c r="T1118" s="21"/>
      <c r="U1118" s="21"/>
      <c r="V1118" s="21"/>
    </row>
    <row r="1119" spans="1:22" s="2" customFormat="1" ht="30" customHeight="1" x14ac:dyDescent="0.25">
      <c r="A1119" s="661">
        <f>A1114+1</f>
        <v>329</v>
      </c>
      <c r="B1119" s="382" t="s">
        <v>41</v>
      </c>
      <c r="C1119" s="383" t="s">
        <v>2538</v>
      </c>
      <c r="D1119" s="100">
        <f>D1117+1</f>
        <v>1503</v>
      </c>
      <c r="E1119" s="427" t="s">
        <v>171</v>
      </c>
      <c r="F1119" s="693" t="s">
        <v>263</v>
      </c>
      <c r="G1119" s="924"/>
      <c r="H1119" s="922"/>
      <c r="I1119" s="923"/>
      <c r="J1119" s="198" t="str">
        <f>IF(LEN(F1119)&gt;0,"","Belum Terisi")</f>
        <v/>
      </c>
      <c r="K1119" s="31"/>
      <c r="L1119" s="31"/>
      <c r="M1119" s="21"/>
      <c r="N1119" s="21"/>
      <c r="O1119" s="21"/>
      <c r="P1119" s="21"/>
      <c r="Q1119" s="21"/>
      <c r="R1119" s="21"/>
      <c r="S1119" s="21"/>
      <c r="T1119" s="21"/>
      <c r="U1119" s="21"/>
      <c r="V1119" s="21"/>
    </row>
    <row r="1120" spans="1:22" s="2" customFormat="1" ht="30" customHeight="1" x14ac:dyDescent="0.25">
      <c r="A1120" s="666"/>
      <c r="B1120" s="382" t="s">
        <v>139</v>
      </c>
      <c r="C1120" s="383" t="s">
        <v>2553</v>
      </c>
      <c r="D1120" s="100">
        <f t="shared" ref="D1120:D1126" si="80">D1119+1</f>
        <v>1504</v>
      </c>
      <c r="E1120" s="427" t="s">
        <v>174</v>
      </c>
      <c r="F1120" s="694" t="s">
        <v>240</v>
      </c>
      <c r="G1120" s="924"/>
      <c r="H1120" s="922"/>
      <c r="I1120" s="923"/>
      <c r="J1120" s="198" t="str">
        <f>IF(LEN(F1120)&gt;0,"","Belum Terisi")</f>
        <v/>
      </c>
      <c r="K1120" s="31"/>
      <c r="L1120" s="31"/>
      <c r="M1120" s="21"/>
      <c r="N1120" s="21"/>
      <c r="O1120" s="21"/>
      <c r="P1120" s="21"/>
      <c r="Q1120" s="21"/>
      <c r="R1120" s="21"/>
      <c r="S1120" s="21"/>
      <c r="T1120" s="21"/>
      <c r="U1120" s="21"/>
      <c r="V1120" s="21"/>
    </row>
    <row r="1121" spans="1:22" s="2" customFormat="1" ht="40.15" customHeight="1" x14ac:dyDescent="0.25">
      <c r="A1121" s="663"/>
      <c r="B1121" s="382" t="s">
        <v>251</v>
      </c>
      <c r="C1121" s="383" t="s">
        <v>2539</v>
      </c>
      <c r="D1121" s="100">
        <f t="shared" si="80"/>
        <v>1505</v>
      </c>
      <c r="E1121" s="427" t="s">
        <v>188</v>
      </c>
      <c r="F1121" s="843">
        <v>0</v>
      </c>
      <c r="G1121" s="924"/>
      <c r="H1121" s="922"/>
      <c r="I1121" s="923"/>
      <c r="J1121" s="198" t="str">
        <f>IF(F1121="","Belum Terisi",IF(AND(F1119="Tidak Ada",F1121&lt;&gt;0),"CEK",IF(AND(F1119&lt;&gt;"Tidak Ada",F1121=0),"CEK","")))</f>
        <v/>
      </c>
      <c r="K1121" s="31" t="str">
        <f>IF(AND(J1121="CEK",F1119="Tidak Ada"),"Tidak Ada Komoditas Perikanan Darat Masuk Pasar Ekspor",IF(AND(J1121="CEK",F1119="Ada"),"Ada Komoditas Perikanan Darat Masuk Pasar Ekspor",""))</f>
        <v/>
      </c>
      <c r="L1121" s="31"/>
      <c r="M1121" s="21"/>
      <c r="N1121" s="21"/>
      <c r="O1121" s="21"/>
      <c r="P1121" s="21"/>
      <c r="Q1121" s="21"/>
      <c r="R1121" s="21"/>
      <c r="S1121" s="21"/>
      <c r="T1121" s="21"/>
      <c r="U1121" s="21"/>
      <c r="V1121" s="21"/>
    </row>
    <row r="1122" spans="1:22" s="2" customFormat="1" ht="30" customHeight="1" x14ac:dyDescent="0.25">
      <c r="A1122" s="662"/>
      <c r="B1122" s="382" t="s">
        <v>255</v>
      </c>
      <c r="C1122" s="383" t="s">
        <v>2540</v>
      </c>
      <c r="D1122" s="100">
        <f t="shared" si="80"/>
        <v>1506</v>
      </c>
      <c r="E1122" s="427" t="s">
        <v>174</v>
      </c>
      <c r="F1122" s="697" t="s">
        <v>240</v>
      </c>
      <c r="G1122" s="924"/>
      <c r="H1122" s="922"/>
      <c r="I1122" s="923"/>
      <c r="J1122" s="198" t="str">
        <f>IF(F1122="","Belum Terisi",IF(AND(F1119&lt;&gt;"Tidak Ada",OR(LEN(F1122)&lt;5,F1122="-")),"CEK",IF(AND(F1119="Tidak Ada",OR(LEN(F1122)&gt;1,F1122&lt;&gt;"-")),"CEK","")))</f>
        <v/>
      </c>
      <c r="K1122" s="31" t="str">
        <f>IF(AND(J1122="CEK",F1119="Tidak Ada"),"Tidak Ada Komoditas Perikanan Darat Masuk Pasar Ekspor",IF(AND(J1122="CEK",F1119="Ada"),"Ada Komoditas Perikanan Darat Masuk Pasar Ekspor",""))</f>
        <v/>
      </c>
      <c r="L1122" s="31"/>
      <c r="M1122" s="21"/>
      <c r="N1122" s="21"/>
      <c r="O1122" s="21"/>
      <c r="P1122" s="21"/>
      <c r="Q1122" s="21"/>
      <c r="R1122" s="21"/>
      <c r="S1122" s="21"/>
      <c r="T1122" s="21"/>
      <c r="U1122" s="21"/>
      <c r="V1122" s="21"/>
    </row>
    <row r="1123" spans="1:22" s="2" customFormat="1" ht="30" customHeight="1" x14ac:dyDescent="0.25">
      <c r="A1123" s="661">
        <f>A1119+1</f>
        <v>330</v>
      </c>
      <c r="B1123" s="382" t="s">
        <v>41</v>
      </c>
      <c r="C1123" s="383" t="s">
        <v>2541</v>
      </c>
      <c r="D1123" s="100">
        <f t="shared" si="80"/>
        <v>1507</v>
      </c>
      <c r="E1123" s="427" t="s">
        <v>171</v>
      </c>
      <c r="F1123" s="693" t="s">
        <v>263</v>
      </c>
      <c r="G1123" s="924"/>
      <c r="H1123" s="922"/>
      <c r="I1123" s="923"/>
      <c r="J1123" s="198" t="str">
        <f>IF(F1123="","Belum Terisi",IF(AND(F1119="Tidak Ada",F1123&lt;&gt;"Tidak Ada"),"CEK",""))</f>
        <v/>
      </c>
      <c r="K1123" s="31" t="str">
        <f>IF(J1123="CEK","Produk Unggulan Obat Pertama diisi Terlebih Dahulu","")</f>
        <v/>
      </c>
      <c r="L1123" s="31"/>
      <c r="M1123" s="21"/>
      <c r="N1123" s="21"/>
      <c r="O1123" s="21"/>
      <c r="P1123" s="21"/>
      <c r="Q1123" s="21"/>
      <c r="R1123" s="21"/>
      <c r="S1123" s="21"/>
      <c r="T1123" s="21"/>
      <c r="U1123" s="21"/>
      <c r="V1123" s="21"/>
    </row>
    <row r="1124" spans="1:22" s="2" customFormat="1" ht="30" customHeight="1" x14ac:dyDescent="0.25">
      <c r="A1124" s="666"/>
      <c r="B1124" s="382" t="s">
        <v>139</v>
      </c>
      <c r="C1124" s="383" t="s">
        <v>2553</v>
      </c>
      <c r="D1124" s="100">
        <f t="shared" si="80"/>
        <v>1508</v>
      </c>
      <c r="E1124" s="427" t="s">
        <v>174</v>
      </c>
      <c r="F1124" s="694" t="s">
        <v>240</v>
      </c>
      <c r="G1124" s="924"/>
      <c r="H1124" s="922"/>
      <c r="I1124" s="923"/>
      <c r="J1124" s="198" t="str">
        <f>IF(LEN(F1124)&gt;0,"","Belum Terisi")</f>
        <v/>
      </c>
      <c r="K1124" s="31"/>
      <c r="L1124" s="31"/>
      <c r="M1124" s="21"/>
      <c r="N1124" s="21"/>
      <c r="O1124" s="21"/>
      <c r="P1124" s="21"/>
      <c r="Q1124" s="21"/>
      <c r="R1124" s="21"/>
      <c r="S1124" s="21"/>
      <c r="T1124" s="21"/>
      <c r="U1124" s="21"/>
      <c r="V1124" s="21"/>
    </row>
    <row r="1125" spans="1:22" s="2" customFormat="1" ht="30" customHeight="1" x14ac:dyDescent="0.25">
      <c r="A1125" s="663"/>
      <c r="B1125" s="382" t="s">
        <v>251</v>
      </c>
      <c r="C1125" s="383" t="s">
        <v>2542</v>
      </c>
      <c r="D1125" s="100">
        <f t="shared" si="80"/>
        <v>1509</v>
      </c>
      <c r="E1125" s="427" t="s">
        <v>188</v>
      </c>
      <c r="F1125" s="843">
        <v>0</v>
      </c>
      <c r="G1125" s="924"/>
      <c r="H1125" s="922"/>
      <c r="I1125" s="923"/>
      <c r="J1125" s="198" t="str">
        <f>IF(F1125="","Belum Terisi",IF(AND(F1123="Tidak Ada",F1125&lt;&gt;0),"CEK",IF(AND(F1123&lt;&gt;"Tidak Ada",F1125=0),"CEK","")))</f>
        <v/>
      </c>
      <c r="K1125" s="31" t="str">
        <f>IF(AND(J1125="CEK",F1123="Tidak Ada"),"Tidak Ada Komoditas Perikanan Darat Masuk Pasar Ekspor",IF(AND(J1125="CEK",F1123="Ada"),"Ada Komoditas Perikanan Darat Masuk Pasar Ekspor",""))</f>
        <v/>
      </c>
      <c r="L1125" s="31"/>
      <c r="M1125" s="21"/>
      <c r="N1125" s="21"/>
      <c r="O1125" s="21"/>
      <c r="P1125" s="21"/>
      <c r="Q1125" s="21"/>
      <c r="R1125" s="21"/>
      <c r="S1125" s="21"/>
      <c r="T1125" s="21"/>
      <c r="U1125" s="21"/>
      <c r="V1125" s="21"/>
    </row>
    <row r="1126" spans="1:22" s="2" customFormat="1" ht="30" customHeight="1" x14ac:dyDescent="0.25">
      <c r="A1126" s="662"/>
      <c r="B1126" s="382" t="s">
        <v>255</v>
      </c>
      <c r="C1126" s="383" t="s">
        <v>2543</v>
      </c>
      <c r="D1126" s="100">
        <f t="shared" si="80"/>
        <v>1510</v>
      </c>
      <c r="E1126" s="427" t="s">
        <v>174</v>
      </c>
      <c r="F1126" s="697" t="s">
        <v>240</v>
      </c>
      <c r="G1126" s="924"/>
      <c r="H1126" s="922"/>
      <c r="I1126" s="923"/>
      <c r="J1126" s="198" t="str">
        <f>IF(F1126="","Belum Terisi",IF(AND(F1123&lt;&gt;"Tidak Ada",OR(LEN(F1126)&lt;5,F1126="-")),"CEK",IF(AND(F1123="Tidak Ada",OR(LEN(F1126)&gt;1,F1126&lt;&gt;"-")),"CEK","")))</f>
        <v/>
      </c>
      <c r="K1126" s="31" t="str">
        <f>IF(AND(J1126="CEK",F1123="Tidak Ada"),"Tidak Ada Komoditas Perikanan Darat Masuk Pasar Ekspor",IF(AND(J1126="CEK",F1123="Ada"),"Ada Komoditas Perikanan Darat Masuk Pasar Ekspor",""))</f>
        <v/>
      </c>
      <c r="L1126" s="31"/>
      <c r="M1126" s="21"/>
      <c r="N1126" s="21"/>
      <c r="O1126" s="21"/>
      <c r="P1126" s="21"/>
      <c r="Q1126" s="21"/>
      <c r="R1126" s="21"/>
      <c r="S1126" s="21"/>
      <c r="T1126" s="21"/>
      <c r="U1126" s="21"/>
      <c r="V1126" s="21"/>
    </row>
    <row r="1127" spans="1:22" s="2" customFormat="1" ht="30" customHeight="1" x14ac:dyDescent="0.25">
      <c r="A1127" s="613" t="s">
        <v>2582</v>
      </c>
      <c r="B1127" s="298"/>
      <c r="C1127" s="298"/>
      <c r="D1127" s="428"/>
      <c r="E1127" s="429"/>
      <c r="F1127" s="714"/>
      <c r="G1127" s="924"/>
      <c r="H1127" s="922"/>
      <c r="I1127" s="923"/>
      <c r="J1127" s="198"/>
      <c r="K1127" s="31"/>
      <c r="L1127" s="31"/>
      <c r="M1127" s="21"/>
      <c r="N1127" s="21"/>
      <c r="O1127" s="21"/>
      <c r="P1127" s="21"/>
      <c r="Q1127" s="21"/>
      <c r="R1127" s="21"/>
      <c r="S1127" s="21"/>
      <c r="T1127" s="21"/>
      <c r="U1127" s="21"/>
      <c r="V1127" s="21"/>
    </row>
    <row r="1128" spans="1:22" s="2" customFormat="1" ht="30" customHeight="1" x14ac:dyDescent="0.25">
      <c r="A1128" s="661">
        <f>A1123+1</f>
        <v>331</v>
      </c>
      <c r="B1128" s="382" t="s">
        <v>41</v>
      </c>
      <c r="C1128" s="383" t="s">
        <v>2583</v>
      </c>
      <c r="D1128" s="100">
        <f>D1126+1</f>
        <v>1511</v>
      </c>
      <c r="E1128" s="427" t="s">
        <v>171</v>
      </c>
      <c r="F1128" s="693" t="s">
        <v>263</v>
      </c>
      <c r="G1128" s="924"/>
      <c r="H1128" s="922"/>
      <c r="I1128" s="923"/>
      <c r="J1128" s="198" t="str">
        <f>IF(LEN(F1128)&gt;0,"","Belum Terisi")</f>
        <v/>
      </c>
      <c r="K1128" s="31"/>
      <c r="L1128" s="31"/>
      <c r="M1128" s="21"/>
      <c r="N1128" s="21"/>
      <c r="O1128" s="21"/>
      <c r="P1128" s="21"/>
      <c r="Q1128" s="21"/>
      <c r="R1128" s="21"/>
      <c r="S1128" s="21"/>
      <c r="T1128" s="21"/>
      <c r="U1128" s="21"/>
      <c r="V1128" s="21"/>
    </row>
    <row r="1129" spans="1:22" s="2" customFormat="1" ht="30" customHeight="1" x14ac:dyDescent="0.25">
      <c r="A1129" s="666"/>
      <c r="B1129" s="382" t="s">
        <v>139</v>
      </c>
      <c r="C1129" s="383" t="s">
        <v>2584</v>
      </c>
      <c r="D1129" s="100">
        <f t="shared" ref="D1129:D1135" si="81">D1128+1</f>
        <v>1512</v>
      </c>
      <c r="E1129" s="427" t="s">
        <v>174</v>
      </c>
      <c r="F1129" s="694" t="s">
        <v>240</v>
      </c>
      <c r="G1129" s="924"/>
      <c r="H1129" s="922"/>
      <c r="I1129" s="923"/>
      <c r="J1129" s="198" t="str">
        <f>IF(LEN(F1129)&gt;0,"","Belum Terisi")</f>
        <v/>
      </c>
      <c r="K1129" s="31"/>
      <c r="L1129" s="31"/>
      <c r="M1129" s="21"/>
      <c r="N1129" s="21"/>
      <c r="O1129" s="21"/>
      <c r="P1129" s="21"/>
      <c r="Q1129" s="21"/>
      <c r="R1129" s="21"/>
      <c r="S1129" s="21"/>
      <c r="T1129" s="21"/>
      <c r="U1129" s="21"/>
      <c r="V1129" s="21"/>
    </row>
    <row r="1130" spans="1:22" s="2" customFormat="1" ht="30" customHeight="1" x14ac:dyDescent="0.25">
      <c r="A1130" s="663"/>
      <c r="B1130" s="382" t="s">
        <v>251</v>
      </c>
      <c r="C1130" s="383" t="s">
        <v>2585</v>
      </c>
      <c r="D1130" s="100">
        <f t="shared" si="81"/>
        <v>1513</v>
      </c>
      <c r="E1130" s="427" t="s">
        <v>188</v>
      </c>
      <c r="F1130" s="843">
        <v>0</v>
      </c>
      <c r="G1130" s="924"/>
      <c r="H1130" s="922"/>
      <c r="I1130" s="923"/>
      <c r="J1130" s="198" t="str">
        <f>IF(F1130="","Belum Terisi",IF(AND(F1128="Tidak Ada",F1130&lt;&gt;0),"CEK",IF(AND(F1128&lt;&gt;"Tidak Ada",F1130=0),"CEK","")))</f>
        <v/>
      </c>
      <c r="K1130" s="31" t="str">
        <f>IF(AND(J1130="CEK",F1128="Tidak Ada"),"Tidak Ada Komoditas Produk Telur Masuk Pasar Ekspor",IF(AND(J1130="CEK",F1128="Ada"),"Ada Komoditas Produk Telur Masuk Pasar Ekspor",""))</f>
        <v/>
      </c>
      <c r="L1130" s="31"/>
      <c r="M1130" s="21"/>
      <c r="N1130" s="21"/>
      <c r="O1130" s="21"/>
      <c r="P1130" s="21"/>
      <c r="Q1130" s="21"/>
      <c r="R1130" s="21"/>
      <c r="S1130" s="21"/>
      <c r="T1130" s="21"/>
      <c r="U1130" s="21"/>
      <c r="V1130" s="21"/>
    </row>
    <row r="1131" spans="1:22" s="2" customFormat="1" ht="30" customHeight="1" x14ac:dyDescent="0.25">
      <c r="A1131" s="662"/>
      <c r="B1131" s="382" t="s">
        <v>255</v>
      </c>
      <c r="C1131" s="383" t="s">
        <v>2586</v>
      </c>
      <c r="D1131" s="100">
        <f t="shared" si="81"/>
        <v>1514</v>
      </c>
      <c r="E1131" s="427" t="s">
        <v>174</v>
      </c>
      <c r="F1131" s="697" t="s">
        <v>240</v>
      </c>
      <c r="G1131" s="924"/>
      <c r="H1131" s="922"/>
      <c r="I1131" s="923"/>
      <c r="J1131" s="198" t="str">
        <f>IF(F1131="","Belum Terisi",IF(AND(F1128&lt;&gt;"Tidak Ada",OR(LEN(F1131)&lt;5,F1131="-")),"CEK",IF(AND(F1128="Tidak Ada",OR(LEN(F1131)&gt;1,F1131&lt;&gt;"-")),"CEK","")))</f>
        <v/>
      </c>
      <c r="K1131" s="31" t="str">
        <f>IF(AND(J1131="CEK",F1128="Tidak Ada"),"Tidak Ada Komoditas Produk Telur Masuk Pasar Ekspor",IF(AND(J1131="CEK",F1128="Ada"),"Ada Komoditas Produk Telur Masuk Pasar Ekspor",""))</f>
        <v/>
      </c>
      <c r="L1131" s="31"/>
      <c r="M1131" s="21"/>
      <c r="N1131" s="21"/>
      <c r="O1131" s="21"/>
      <c r="P1131" s="21"/>
      <c r="Q1131" s="21"/>
      <c r="R1131" s="21"/>
      <c r="S1131" s="21"/>
      <c r="T1131" s="21"/>
      <c r="U1131" s="21"/>
      <c r="V1131" s="21"/>
    </row>
    <row r="1132" spans="1:22" s="2" customFormat="1" ht="30" customHeight="1" x14ac:dyDescent="0.25">
      <c r="A1132" s="661">
        <f>A1128+1</f>
        <v>332</v>
      </c>
      <c r="B1132" s="382" t="s">
        <v>41</v>
      </c>
      <c r="C1132" s="383" t="s">
        <v>2587</v>
      </c>
      <c r="D1132" s="100">
        <f t="shared" si="81"/>
        <v>1515</v>
      </c>
      <c r="E1132" s="427" t="s">
        <v>171</v>
      </c>
      <c r="F1132" s="693" t="s">
        <v>263</v>
      </c>
      <c r="G1132" s="924"/>
      <c r="H1132" s="922"/>
      <c r="I1132" s="923"/>
      <c r="J1132" s="198" t="str">
        <f>IF(F1132="","Belum Terisi",IF(AND(F1128="Tidak Ada",F1132&lt;&gt;"Tidak Ada"),"CEK",""))</f>
        <v/>
      </c>
      <c r="K1132" s="31" t="str">
        <f>IF(J1132="CEK","Produk Unggulan Obat Pertama diisi Terlebih Dahulu","")</f>
        <v/>
      </c>
      <c r="L1132" s="31"/>
      <c r="M1132" s="21"/>
      <c r="N1132" s="21"/>
      <c r="O1132" s="21"/>
      <c r="P1132" s="21"/>
      <c r="Q1132" s="21"/>
      <c r="R1132" s="21"/>
      <c r="S1132" s="21"/>
      <c r="T1132" s="21"/>
      <c r="U1132" s="21"/>
      <c r="V1132" s="21"/>
    </row>
    <row r="1133" spans="1:22" s="2" customFormat="1" ht="30" customHeight="1" x14ac:dyDescent="0.25">
      <c r="A1133" s="666"/>
      <c r="B1133" s="382" t="s">
        <v>139</v>
      </c>
      <c r="C1133" s="383" t="s">
        <v>2588</v>
      </c>
      <c r="D1133" s="100">
        <f t="shared" si="81"/>
        <v>1516</v>
      </c>
      <c r="E1133" s="427" t="s">
        <v>174</v>
      </c>
      <c r="F1133" s="694" t="s">
        <v>240</v>
      </c>
      <c r="G1133" s="924"/>
      <c r="H1133" s="922"/>
      <c r="I1133" s="923"/>
      <c r="J1133" s="198" t="str">
        <f>IF(LEN(F1133)&gt;0,"","Belum Terisi")</f>
        <v/>
      </c>
      <c r="K1133" s="31"/>
      <c r="L1133" s="31"/>
      <c r="M1133" s="21"/>
      <c r="N1133" s="21"/>
      <c r="O1133" s="21"/>
      <c r="P1133" s="21"/>
      <c r="Q1133" s="21"/>
      <c r="R1133" s="21"/>
      <c r="S1133" s="21"/>
      <c r="T1133" s="21"/>
      <c r="U1133" s="21"/>
      <c r="V1133" s="21"/>
    </row>
    <row r="1134" spans="1:22" s="2" customFormat="1" ht="30" customHeight="1" x14ac:dyDescent="0.25">
      <c r="A1134" s="663"/>
      <c r="B1134" s="382" t="s">
        <v>251</v>
      </c>
      <c r="C1134" s="383" t="s">
        <v>2589</v>
      </c>
      <c r="D1134" s="100">
        <f t="shared" si="81"/>
        <v>1517</v>
      </c>
      <c r="E1134" s="427" t="s">
        <v>188</v>
      </c>
      <c r="F1134" s="843">
        <v>0</v>
      </c>
      <c r="G1134" s="924"/>
      <c r="H1134" s="922"/>
      <c r="I1134" s="923"/>
      <c r="J1134" s="198" t="str">
        <f>IF(F1134="","Belum Terisi",IF(AND(F1132="Tidak Ada",F1134&lt;&gt;0),"CEK",IF(AND(F1132&lt;&gt;"Tidak Ada",F1134=0),"CEK","")))</f>
        <v/>
      </c>
      <c r="K1134" s="31" t="str">
        <f>IF(AND(J1134="CEK",F1132="Tidak Ada"),"Tidak Ada Komoditas Produk Telur Masuk Pasar Ekspor",IF(AND(J1134="CEK",F1132="Ada"),"Ada Komoditas Produk Telur Masuk Pasar Ekspor",""))</f>
        <v/>
      </c>
      <c r="L1134" s="31"/>
      <c r="M1134" s="21"/>
      <c r="N1134" s="21"/>
      <c r="O1134" s="21"/>
      <c r="P1134" s="21"/>
      <c r="Q1134" s="21"/>
      <c r="R1134" s="21"/>
      <c r="S1134" s="21"/>
      <c r="T1134" s="21"/>
      <c r="U1134" s="21"/>
      <c r="V1134" s="21"/>
    </row>
    <row r="1135" spans="1:22" s="2" customFormat="1" ht="30" customHeight="1" x14ac:dyDescent="0.25">
      <c r="A1135" s="662"/>
      <c r="B1135" s="382" t="s">
        <v>255</v>
      </c>
      <c r="C1135" s="383" t="s">
        <v>2590</v>
      </c>
      <c r="D1135" s="100">
        <f t="shared" si="81"/>
        <v>1518</v>
      </c>
      <c r="E1135" s="427" t="s">
        <v>174</v>
      </c>
      <c r="F1135" s="697" t="s">
        <v>240</v>
      </c>
      <c r="G1135" s="924"/>
      <c r="H1135" s="922"/>
      <c r="I1135" s="923"/>
      <c r="J1135" s="198" t="str">
        <f>IF(F1135="","Belum Terisi",IF(AND(F1132&lt;&gt;"Tidak Ada",OR(LEN(F1135)&lt;5,F1135="-")),"CEK",IF(AND(F1132="Tidak Ada",OR(LEN(F1135)&gt;1,F1135&lt;&gt;"-")),"CEK","")))</f>
        <v/>
      </c>
      <c r="K1135" s="31" t="str">
        <f>IF(AND(J1135="CEK",F1132="Tidak Ada"),"Tidak Ada Komoditas Produk Telur Masuk Pasar Ekspor",IF(AND(J1135="CEK",F1132="Ada"),"Ada Komoditas Produk Telur Masuk Pasar Ekspor",""))</f>
        <v/>
      </c>
      <c r="L1135" s="31"/>
      <c r="M1135" s="21"/>
      <c r="N1135" s="21"/>
      <c r="O1135" s="21"/>
      <c r="P1135" s="21"/>
      <c r="Q1135" s="21"/>
      <c r="R1135" s="21"/>
      <c r="S1135" s="21"/>
      <c r="T1135" s="21"/>
      <c r="U1135" s="21"/>
      <c r="V1135" s="21"/>
    </row>
    <row r="1136" spans="1:22" s="2" customFormat="1" ht="30" customHeight="1" x14ac:dyDescent="0.25">
      <c r="A1136" s="613" t="s">
        <v>2591</v>
      </c>
      <c r="B1136" s="298"/>
      <c r="C1136" s="298"/>
      <c r="D1136" s="428"/>
      <c r="E1136" s="429"/>
      <c r="F1136" s="714"/>
      <c r="G1136" s="924"/>
      <c r="H1136" s="922"/>
      <c r="I1136" s="923"/>
      <c r="J1136" s="198"/>
      <c r="K1136" s="31"/>
      <c r="L1136" s="31"/>
      <c r="M1136" s="21"/>
      <c r="N1136" s="21"/>
      <c r="O1136" s="21"/>
      <c r="P1136" s="21"/>
      <c r="Q1136" s="21"/>
      <c r="R1136" s="21"/>
      <c r="S1136" s="21"/>
      <c r="T1136" s="21"/>
      <c r="U1136" s="21"/>
      <c r="V1136" s="21"/>
    </row>
    <row r="1137" spans="1:22" s="2" customFormat="1" ht="30" customHeight="1" x14ac:dyDescent="0.25">
      <c r="A1137" s="661">
        <f>A1132+1</f>
        <v>333</v>
      </c>
      <c r="B1137" s="382" t="s">
        <v>41</v>
      </c>
      <c r="C1137" s="383" t="s">
        <v>2592</v>
      </c>
      <c r="D1137" s="100">
        <f>D1135+1</f>
        <v>1519</v>
      </c>
      <c r="E1137" s="427" t="s">
        <v>171</v>
      </c>
      <c r="F1137" s="693" t="s">
        <v>263</v>
      </c>
      <c r="G1137" s="924"/>
      <c r="H1137" s="922"/>
      <c r="I1137" s="923"/>
      <c r="J1137" s="198" t="str">
        <f>IF(LEN(F1137)&gt;0,"","Belum Terisi")</f>
        <v/>
      </c>
      <c r="K1137" s="31"/>
      <c r="L1137" s="31"/>
      <c r="M1137" s="21"/>
      <c r="N1137" s="21"/>
      <c r="O1137" s="21"/>
      <c r="P1137" s="21"/>
      <c r="Q1137" s="21"/>
      <c r="R1137" s="21"/>
      <c r="S1137" s="21"/>
      <c r="T1137" s="21"/>
      <c r="U1137" s="21"/>
      <c r="V1137" s="21"/>
    </row>
    <row r="1138" spans="1:22" s="2" customFormat="1" ht="30" customHeight="1" x14ac:dyDescent="0.25">
      <c r="A1138" s="666"/>
      <c r="B1138" s="382" t="s">
        <v>139</v>
      </c>
      <c r="C1138" s="383" t="s">
        <v>2593</v>
      </c>
      <c r="D1138" s="100">
        <f t="shared" ref="D1138:D1144" si="82">D1137+1</f>
        <v>1520</v>
      </c>
      <c r="E1138" s="427" t="s">
        <v>174</v>
      </c>
      <c r="F1138" s="694" t="s">
        <v>240</v>
      </c>
      <c r="G1138" s="924"/>
      <c r="H1138" s="922"/>
      <c r="I1138" s="923"/>
      <c r="J1138" s="198" t="str">
        <f>IF(LEN(F1138)&gt;0,"","Belum Terisi")</f>
        <v/>
      </c>
      <c r="K1138" s="31"/>
      <c r="L1138" s="31"/>
      <c r="M1138" s="21"/>
      <c r="N1138" s="21"/>
      <c r="O1138" s="21"/>
      <c r="P1138" s="21"/>
      <c r="Q1138" s="21"/>
      <c r="R1138" s="21"/>
      <c r="S1138" s="21"/>
      <c r="T1138" s="21"/>
      <c r="U1138" s="21"/>
      <c r="V1138" s="21"/>
    </row>
    <row r="1139" spans="1:22" s="2" customFormat="1" ht="30" customHeight="1" x14ac:dyDescent="0.25">
      <c r="A1139" s="663"/>
      <c r="B1139" s="382" t="s">
        <v>251</v>
      </c>
      <c r="C1139" s="383" t="s">
        <v>2594</v>
      </c>
      <c r="D1139" s="100">
        <f t="shared" si="82"/>
        <v>1521</v>
      </c>
      <c r="E1139" s="427" t="s">
        <v>188</v>
      </c>
      <c r="F1139" s="843">
        <v>0</v>
      </c>
      <c r="G1139" s="924"/>
      <c r="H1139" s="922"/>
      <c r="I1139" s="923"/>
      <c r="J1139" s="198" t="str">
        <f>IF(F1139="","Belum Terisi",IF(AND(F1137="Tidak Ada",F1139&lt;&gt;0),"CEK",IF(AND(F1137&lt;&gt;"Tidak Ada",F1139=0),"CEK","")))</f>
        <v/>
      </c>
      <c r="K1139" s="31" t="str">
        <f>IF(AND(J1139="CEK",F1137="Tidak Ada"),"Tidak Ada Komoditas Produk Susu Masuk Pasar Ekspor",IF(AND(J1139="CEK",F1137="Ada"),"Ada Komoditas Produk Susu Masuk Pasar Ekspor",""))</f>
        <v/>
      </c>
      <c r="L1139" s="31"/>
      <c r="M1139" s="21"/>
      <c r="N1139" s="21"/>
      <c r="O1139" s="21"/>
      <c r="P1139" s="21"/>
      <c r="Q1139" s="21"/>
      <c r="R1139" s="21"/>
      <c r="S1139" s="21"/>
      <c r="T1139" s="21"/>
      <c r="U1139" s="21"/>
      <c r="V1139" s="21"/>
    </row>
    <row r="1140" spans="1:22" s="2" customFormat="1" ht="30" customHeight="1" x14ac:dyDescent="0.25">
      <c r="A1140" s="662"/>
      <c r="B1140" s="382" t="s">
        <v>255</v>
      </c>
      <c r="C1140" s="383" t="s">
        <v>2595</v>
      </c>
      <c r="D1140" s="100">
        <f t="shared" si="82"/>
        <v>1522</v>
      </c>
      <c r="E1140" s="427" t="s">
        <v>174</v>
      </c>
      <c r="F1140" s="697" t="s">
        <v>240</v>
      </c>
      <c r="G1140" s="924"/>
      <c r="H1140" s="922"/>
      <c r="I1140" s="923"/>
      <c r="J1140" s="198" t="str">
        <f>IF(F1140="","Belum Terisi",IF(AND(F1137&lt;&gt;"Tidak Ada",OR(LEN(F1140)&lt;5,F1140="-")),"CEK",IF(AND(F1137="Tidak Ada",OR(LEN(F1140)&gt;1,F1140&lt;&gt;"-")),"CEK","")))</f>
        <v/>
      </c>
      <c r="K1140" s="31" t="str">
        <f>IF(AND(J1140="CEK",F1137="Tidak Ada"),"Tidak Ada Komoditas Produk Susu Masuk Pasar Ekspor",IF(AND(J1140="CEK",F1137="Ada"),"Ada Komoditas Produk Susu Masuk Pasar Ekspor",""))</f>
        <v/>
      </c>
      <c r="L1140" s="31"/>
      <c r="M1140" s="21"/>
      <c r="N1140" s="21"/>
      <c r="O1140" s="21"/>
      <c r="P1140" s="21"/>
      <c r="Q1140" s="21"/>
      <c r="R1140" s="21"/>
      <c r="S1140" s="21"/>
      <c r="T1140" s="21"/>
      <c r="U1140" s="21"/>
      <c r="V1140" s="21"/>
    </row>
    <row r="1141" spans="1:22" s="2" customFormat="1" ht="30" customHeight="1" x14ac:dyDescent="0.25">
      <c r="A1141" s="661">
        <f>A1137+1</f>
        <v>334</v>
      </c>
      <c r="B1141" s="382" t="s">
        <v>41</v>
      </c>
      <c r="C1141" s="383" t="s">
        <v>2596</v>
      </c>
      <c r="D1141" s="100">
        <f t="shared" si="82"/>
        <v>1523</v>
      </c>
      <c r="E1141" s="427" t="s">
        <v>171</v>
      </c>
      <c r="F1141" s="693" t="s">
        <v>263</v>
      </c>
      <c r="G1141" s="924"/>
      <c r="H1141" s="922"/>
      <c r="I1141" s="923"/>
      <c r="J1141" s="198" t="str">
        <f>IF(F1141="","Belum Terisi",IF(AND(F1137="Tidak Ada",F1141&lt;&gt;"Tidak Ada"),"CEK",""))</f>
        <v/>
      </c>
      <c r="K1141" s="31" t="str">
        <f>IF(J1141="CEK","Produk Unggulan Obat Pertama diisi Terlebih Dahulu","")</f>
        <v/>
      </c>
      <c r="L1141" s="31"/>
      <c r="M1141" s="21"/>
      <c r="N1141" s="21"/>
      <c r="O1141" s="21"/>
      <c r="P1141" s="21"/>
      <c r="Q1141" s="21"/>
      <c r="R1141" s="21"/>
      <c r="S1141" s="21"/>
      <c r="T1141" s="21"/>
      <c r="U1141" s="21"/>
      <c r="V1141" s="21"/>
    </row>
    <row r="1142" spans="1:22" s="2" customFormat="1" ht="30" customHeight="1" x14ac:dyDescent="0.25">
      <c r="A1142" s="666"/>
      <c r="B1142" s="382" t="s">
        <v>139</v>
      </c>
      <c r="C1142" s="383" t="s">
        <v>2597</v>
      </c>
      <c r="D1142" s="100">
        <f t="shared" si="82"/>
        <v>1524</v>
      </c>
      <c r="E1142" s="427" t="s">
        <v>174</v>
      </c>
      <c r="F1142" s="694" t="s">
        <v>240</v>
      </c>
      <c r="G1142" s="924"/>
      <c r="H1142" s="922"/>
      <c r="I1142" s="923"/>
      <c r="J1142" s="198" t="str">
        <f>IF(LEN(F1142)&gt;0,"","Belum Terisi")</f>
        <v/>
      </c>
      <c r="K1142" s="31"/>
      <c r="L1142" s="31"/>
      <c r="M1142" s="21"/>
      <c r="N1142" s="21"/>
      <c r="O1142" s="21"/>
      <c r="P1142" s="21"/>
      <c r="Q1142" s="21"/>
      <c r="R1142" s="21"/>
      <c r="S1142" s="21"/>
      <c r="T1142" s="21"/>
      <c r="U1142" s="21"/>
      <c r="V1142" s="21"/>
    </row>
    <row r="1143" spans="1:22" s="2" customFormat="1" ht="30" customHeight="1" x14ac:dyDescent="0.25">
      <c r="A1143" s="663"/>
      <c r="B1143" s="382" t="s">
        <v>251</v>
      </c>
      <c r="C1143" s="383" t="s">
        <v>2598</v>
      </c>
      <c r="D1143" s="100">
        <f t="shared" si="82"/>
        <v>1525</v>
      </c>
      <c r="E1143" s="427" t="s">
        <v>188</v>
      </c>
      <c r="F1143" s="843">
        <v>0</v>
      </c>
      <c r="G1143" s="924"/>
      <c r="H1143" s="922"/>
      <c r="I1143" s="923"/>
      <c r="J1143" s="198" t="str">
        <f>IF(F1143="","Belum Terisi",IF(AND(F1141="Tidak Ada",F1143&lt;&gt;0),"CEK",IF(AND(F1141&lt;&gt;"Tidak Ada",F1143=0),"CEK","")))</f>
        <v/>
      </c>
      <c r="K1143" s="31" t="str">
        <f>IF(AND(J1143="CEK",F1141="Tidak Ada"),"Tidak Ada Komoditas Produk Susu Masuk Pasar Ekspor",IF(AND(J1143="CEK",F1141="Ada"),"Ada Komoditas Produk Susu Masuk Pasar Ekspor",""))</f>
        <v/>
      </c>
      <c r="L1143" s="31"/>
      <c r="M1143" s="21"/>
      <c r="N1143" s="21"/>
      <c r="O1143" s="21"/>
      <c r="P1143" s="21"/>
      <c r="Q1143" s="21"/>
      <c r="R1143" s="21"/>
      <c r="S1143" s="21"/>
      <c r="T1143" s="21"/>
      <c r="U1143" s="21"/>
      <c r="V1143" s="21"/>
    </row>
    <row r="1144" spans="1:22" s="2" customFormat="1" ht="30" customHeight="1" x14ac:dyDescent="0.25">
      <c r="A1144" s="662"/>
      <c r="B1144" s="382" t="s">
        <v>255</v>
      </c>
      <c r="C1144" s="383" t="s">
        <v>2599</v>
      </c>
      <c r="D1144" s="100">
        <f t="shared" si="82"/>
        <v>1526</v>
      </c>
      <c r="E1144" s="427" t="s">
        <v>174</v>
      </c>
      <c r="F1144" s="697" t="s">
        <v>240</v>
      </c>
      <c r="G1144" s="924"/>
      <c r="H1144" s="922"/>
      <c r="I1144" s="923"/>
      <c r="J1144" s="198" t="str">
        <f>IF(F1144="","Belum Terisi",IF(AND(F1141&lt;&gt;"Tidak Ada",OR(LEN(F1144)&lt;5,F1144="-")),"CEK",IF(AND(F1141="Tidak Ada",OR(LEN(F1144)&gt;1,F1144&lt;&gt;"-")),"CEK","")))</f>
        <v/>
      </c>
      <c r="K1144" s="31" t="str">
        <f>IF(AND(J1144="CEK",F1141="Tidak Ada"),"Tidak Ada Komoditas Produk Susu Masuk Pasar Ekspor",IF(AND(J1144="CEK",F1141="Ada"),"Ada Komoditas Produk Susu Masuk Pasar Ekspor",""))</f>
        <v/>
      </c>
      <c r="L1144" s="31"/>
      <c r="M1144" s="21"/>
      <c r="N1144" s="21"/>
      <c r="O1144" s="21"/>
      <c r="P1144" s="21"/>
      <c r="Q1144" s="21"/>
      <c r="R1144" s="21"/>
      <c r="S1144" s="21"/>
      <c r="T1144" s="21"/>
      <c r="U1144" s="21"/>
      <c r="V1144" s="21"/>
    </row>
    <row r="1145" spans="1:22" s="2" customFormat="1" ht="30" customHeight="1" x14ac:dyDescent="0.25">
      <c r="A1145" s="613" t="s">
        <v>2600</v>
      </c>
      <c r="B1145" s="298"/>
      <c r="C1145" s="298"/>
      <c r="D1145" s="428"/>
      <c r="E1145" s="429"/>
      <c r="F1145" s="714"/>
      <c r="G1145" s="924"/>
      <c r="H1145" s="922"/>
      <c r="I1145" s="923"/>
      <c r="J1145" s="198"/>
      <c r="K1145" s="31"/>
      <c r="L1145" s="31"/>
      <c r="M1145" s="21"/>
      <c r="N1145" s="21"/>
      <c r="O1145" s="21"/>
      <c r="P1145" s="21"/>
      <c r="Q1145" s="21"/>
      <c r="R1145" s="21"/>
      <c r="S1145" s="21"/>
      <c r="T1145" s="21"/>
      <c r="U1145" s="21"/>
      <c r="V1145" s="21"/>
    </row>
    <row r="1146" spans="1:22" s="2" customFormat="1" ht="30" customHeight="1" x14ac:dyDescent="0.25">
      <c r="A1146" s="661">
        <f>A1141+1</f>
        <v>335</v>
      </c>
      <c r="B1146" s="382" t="s">
        <v>41</v>
      </c>
      <c r="C1146" s="383" t="s">
        <v>2601</v>
      </c>
      <c r="D1146" s="100">
        <f>D1144+1</f>
        <v>1527</v>
      </c>
      <c r="E1146" s="427" t="s">
        <v>171</v>
      </c>
      <c r="F1146" s="693" t="s">
        <v>263</v>
      </c>
      <c r="G1146" s="924"/>
      <c r="H1146" s="922"/>
      <c r="I1146" s="923"/>
      <c r="J1146" s="198" t="str">
        <f>IF(LEN(F1146)&gt;0,"","Belum Terisi")</f>
        <v/>
      </c>
      <c r="K1146" s="31"/>
      <c r="L1146" s="31"/>
      <c r="M1146" s="21"/>
      <c r="N1146" s="21"/>
      <c r="O1146" s="21"/>
      <c r="P1146" s="21"/>
      <c r="Q1146" s="21"/>
      <c r="R1146" s="21"/>
      <c r="S1146" s="21"/>
      <c r="T1146" s="21"/>
      <c r="U1146" s="21"/>
      <c r="V1146" s="21"/>
    </row>
    <row r="1147" spans="1:22" s="2" customFormat="1" ht="30" customHeight="1" x14ac:dyDescent="0.25">
      <c r="A1147" s="666"/>
      <c r="B1147" s="382" t="s">
        <v>139</v>
      </c>
      <c r="C1147" s="383" t="s">
        <v>2602</v>
      </c>
      <c r="D1147" s="100">
        <f t="shared" ref="D1147:D1153" si="83">D1146+1</f>
        <v>1528</v>
      </c>
      <c r="E1147" s="427" t="s">
        <v>174</v>
      </c>
      <c r="F1147" s="694" t="s">
        <v>240</v>
      </c>
      <c r="G1147" s="924"/>
      <c r="H1147" s="922"/>
      <c r="I1147" s="923"/>
      <c r="J1147" s="198" t="str">
        <f>IF(LEN(F1147)&gt;0,"","Belum Terisi")</f>
        <v/>
      </c>
      <c r="K1147" s="31"/>
      <c r="L1147" s="31"/>
      <c r="M1147" s="21"/>
      <c r="N1147" s="21"/>
      <c r="O1147" s="21"/>
      <c r="P1147" s="21"/>
      <c r="Q1147" s="21"/>
      <c r="R1147" s="21"/>
      <c r="S1147" s="21"/>
      <c r="T1147" s="21"/>
      <c r="U1147" s="21"/>
      <c r="V1147" s="21"/>
    </row>
    <row r="1148" spans="1:22" s="2" customFormat="1" ht="30" customHeight="1" x14ac:dyDescent="0.25">
      <c r="A1148" s="663"/>
      <c r="B1148" s="382" t="s">
        <v>251</v>
      </c>
      <c r="C1148" s="383" t="s">
        <v>2603</v>
      </c>
      <c r="D1148" s="100">
        <f t="shared" si="83"/>
        <v>1529</v>
      </c>
      <c r="E1148" s="427" t="s">
        <v>188</v>
      </c>
      <c r="F1148" s="843">
        <v>0</v>
      </c>
      <c r="G1148" s="924"/>
      <c r="H1148" s="922"/>
      <c r="I1148" s="923"/>
      <c r="J1148" s="198" t="str">
        <f>IF(F1148="","Belum Terisi",IF(AND(F1146="Tidak Ada",F1148&lt;&gt;0),"CEK",IF(AND(F1146&lt;&gt;"Tidak Ada",F1148=0),"CEK","")))</f>
        <v/>
      </c>
      <c r="K1148" s="31" t="str">
        <f>IF(AND(J1148="CEK",F1146="Tidak Ada"),"Tidak Ada Komoditas Produk Daging Masuk Pasar Ekspor",IF(AND(J1148="CEK",F1146="Ada"),"Ada Komoditas Produk Daging Masuk Pasar Ekspor",""))</f>
        <v/>
      </c>
      <c r="L1148" s="31"/>
      <c r="M1148" s="21"/>
      <c r="N1148" s="21"/>
      <c r="O1148" s="21"/>
      <c r="P1148" s="21"/>
      <c r="Q1148" s="21"/>
      <c r="R1148" s="21"/>
      <c r="S1148" s="21"/>
      <c r="T1148" s="21"/>
      <c r="U1148" s="21"/>
      <c r="V1148" s="21"/>
    </row>
    <row r="1149" spans="1:22" s="2" customFormat="1" ht="30" customHeight="1" x14ac:dyDescent="0.25">
      <c r="A1149" s="662"/>
      <c r="B1149" s="382" t="s">
        <v>255</v>
      </c>
      <c r="C1149" s="383" t="s">
        <v>2604</v>
      </c>
      <c r="D1149" s="100">
        <f t="shared" si="83"/>
        <v>1530</v>
      </c>
      <c r="E1149" s="427" t="s">
        <v>174</v>
      </c>
      <c r="F1149" s="697" t="s">
        <v>240</v>
      </c>
      <c r="G1149" s="924"/>
      <c r="H1149" s="922"/>
      <c r="I1149" s="923"/>
      <c r="J1149" s="198" t="str">
        <f>IF(F1149="","Belum Terisi",IF(AND(F1146&lt;&gt;"Tidak Ada",OR(LEN(F1149)&lt;5,F1149="-")),"CEK",IF(AND(F1146="Tidak Ada",OR(LEN(F1149)&gt;1,F1149&lt;&gt;"-")),"CEK","")))</f>
        <v/>
      </c>
      <c r="K1149" s="31" t="str">
        <f>IF(AND(J1149="CEK",F1146="Tidak Ada"),"Tidak Ada Komoditas Produk Daging Masuk Pasar Ekspor",IF(AND(J1149="CEK",F1146="Ada"),"Ada Komoditas Produk Daging Masuk Pasar Ekspor",""))</f>
        <v/>
      </c>
      <c r="L1149" s="31"/>
      <c r="M1149" s="21"/>
      <c r="N1149" s="21"/>
      <c r="O1149" s="21"/>
      <c r="P1149" s="21"/>
      <c r="Q1149" s="21"/>
      <c r="R1149" s="21"/>
      <c r="S1149" s="21"/>
      <c r="T1149" s="21"/>
      <c r="U1149" s="21"/>
      <c r="V1149" s="21"/>
    </row>
    <row r="1150" spans="1:22" s="2" customFormat="1" ht="30" customHeight="1" x14ac:dyDescent="0.25">
      <c r="A1150" s="661">
        <f>A1146+1</f>
        <v>336</v>
      </c>
      <c r="B1150" s="382" t="s">
        <v>41</v>
      </c>
      <c r="C1150" s="383" t="s">
        <v>2605</v>
      </c>
      <c r="D1150" s="100">
        <f t="shared" si="83"/>
        <v>1531</v>
      </c>
      <c r="E1150" s="427" t="s">
        <v>171</v>
      </c>
      <c r="F1150" s="693" t="s">
        <v>263</v>
      </c>
      <c r="G1150" s="924"/>
      <c r="H1150" s="922"/>
      <c r="I1150" s="923"/>
      <c r="J1150" s="198" t="str">
        <f>IF(F1150="","Belum Terisi",IF(AND(F1146="Tidak Ada",F1150&lt;&gt;"Tidak Ada"),"CEK",""))</f>
        <v/>
      </c>
      <c r="K1150" s="31" t="str">
        <f>IF(J1150="CEK","Produk Unggulan Obat Pertama diisi Terlebih Dahulu","")</f>
        <v/>
      </c>
      <c r="L1150" s="31"/>
      <c r="M1150" s="21"/>
      <c r="N1150" s="21"/>
      <c r="O1150" s="21"/>
      <c r="P1150" s="21"/>
      <c r="Q1150" s="21"/>
      <c r="R1150" s="21"/>
      <c r="S1150" s="21"/>
      <c r="T1150" s="21"/>
      <c r="U1150" s="21"/>
      <c r="V1150" s="21"/>
    </row>
    <row r="1151" spans="1:22" s="2" customFormat="1" ht="30" customHeight="1" x14ac:dyDescent="0.25">
      <c r="A1151" s="666"/>
      <c r="B1151" s="382" t="s">
        <v>139</v>
      </c>
      <c r="C1151" s="383" t="s">
        <v>2606</v>
      </c>
      <c r="D1151" s="100">
        <f t="shared" si="83"/>
        <v>1532</v>
      </c>
      <c r="E1151" s="427" t="s">
        <v>174</v>
      </c>
      <c r="F1151" s="694" t="s">
        <v>240</v>
      </c>
      <c r="G1151" s="924"/>
      <c r="H1151" s="922"/>
      <c r="I1151" s="923"/>
      <c r="J1151" s="198" t="str">
        <f>IF(LEN(F1151)&gt;0,"","Belum Terisi")</f>
        <v/>
      </c>
      <c r="K1151" s="31"/>
      <c r="L1151" s="31"/>
      <c r="M1151" s="21"/>
      <c r="N1151" s="21"/>
      <c r="O1151" s="21"/>
      <c r="P1151" s="21"/>
      <c r="Q1151" s="21"/>
      <c r="R1151" s="21"/>
      <c r="S1151" s="21"/>
      <c r="T1151" s="21"/>
      <c r="U1151" s="21"/>
      <c r="V1151" s="21"/>
    </row>
    <row r="1152" spans="1:22" s="2" customFormat="1" ht="30" customHeight="1" x14ac:dyDescent="0.25">
      <c r="A1152" s="663"/>
      <c r="B1152" s="382" t="s">
        <v>251</v>
      </c>
      <c r="C1152" s="383" t="s">
        <v>2607</v>
      </c>
      <c r="D1152" s="100">
        <f t="shared" si="83"/>
        <v>1533</v>
      </c>
      <c r="E1152" s="427" t="s">
        <v>188</v>
      </c>
      <c r="F1152" s="843">
        <v>0</v>
      </c>
      <c r="G1152" s="924"/>
      <c r="H1152" s="922"/>
      <c r="I1152" s="923"/>
      <c r="J1152" s="198" t="str">
        <f>IF(F1152="","Belum Terisi",IF(AND(F1150="Tidak Ada",F1152&lt;&gt;0),"CEK",IF(AND(F1150&lt;&gt;"Tidak Ada",F1152=0),"CEK","")))</f>
        <v/>
      </c>
      <c r="K1152" s="31" t="str">
        <f>IF(AND(J1152="CEK",F1150="Tidak Ada"),"Tidak Ada Komoditas Produk Daging Masuk Pasar Ekspor",IF(AND(J1152="CEK",F1150="Ada"),"Ada Komoditas Produk Daging Masuk Pasar Ekspor",""))</f>
        <v/>
      </c>
      <c r="L1152" s="31"/>
      <c r="M1152" s="21"/>
      <c r="N1152" s="21"/>
      <c r="O1152" s="21"/>
      <c r="P1152" s="21"/>
      <c r="Q1152" s="21"/>
      <c r="R1152" s="21"/>
      <c r="S1152" s="21"/>
      <c r="T1152" s="21"/>
      <c r="U1152" s="21"/>
      <c r="V1152" s="21"/>
    </row>
    <row r="1153" spans="1:22" s="2" customFormat="1" ht="30" customHeight="1" x14ac:dyDescent="0.25">
      <c r="A1153" s="662"/>
      <c r="B1153" s="382" t="s">
        <v>255</v>
      </c>
      <c r="C1153" s="383" t="s">
        <v>2608</v>
      </c>
      <c r="D1153" s="100">
        <f t="shared" si="83"/>
        <v>1534</v>
      </c>
      <c r="E1153" s="427" t="s">
        <v>174</v>
      </c>
      <c r="F1153" s="697" t="s">
        <v>240</v>
      </c>
      <c r="G1153" s="924"/>
      <c r="H1153" s="922"/>
      <c r="I1153" s="923"/>
      <c r="J1153" s="198" t="str">
        <f>IF(F1153="","Belum Terisi",IF(AND(F1150&lt;&gt;"Tidak Ada",OR(LEN(F1153)&lt;5,F1153="-")),"CEK",IF(AND(F1150="Tidak Ada",OR(LEN(F1153)&gt;1,F1153&lt;&gt;"-")),"CEK","")))</f>
        <v/>
      </c>
      <c r="K1153" s="31" t="str">
        <f>IF(AND(J1153="CEK",F1150="Tidak Ada"),"Tidak Ada Komoditas Produk Daging Masuk Pasar Ekspor",IF(AND(J1153="CEK",F1150="Ada"),"Ada Komoditas Produk Daging Masuk Pasar Ekspor",""))</f>
        <v/>
      </c>
      <c r="L1153" s="31"/>
      <c r="M1153" s="21"/>
      <c r="N1153" s="21"/>
      <c r="O1153" s="21"/>
      <c r="P1153" s="21"/>
      <c r="Q1153" s="21"/>
      <c r="R1153" s="21"/>
      <c r="S1153" s="21"/>
      <c r="T1153" s="21"/>
      <c r="U1153" s="21"/>
      <c r="V1153" s="21"/>
    </row>
    <row r="1154" spans="1:22" s="2" customFormat="1" ht="30" customHeight="1" x14ac:dyDescent="0.25">
      <c r="A1154" s="613" t="s">
        <v>2562</v>
      </c>
      <c r="B1154" s="298"/>
      <c r="C1154" s="298"/>
      <c r="D1154" s="428"/>
      <c r="E1154" s="429"/>
      <c r="F1154" s="714"/>
      <c r="G1154" s="924"/>
      <c r="H1154" s="922"/>
      <c r="I1154" s="923"/>
      <c r="J1154" s="198"/>
      <c r="K1154" s="31"/>
      <c r="L1154" s="31"/>
      <c r="M1154" s="21"/>
      <c r="N1154" s="21"/>
      <c r="O1154" s="21"/>
      <c r="P1154" s="21"/>
      <c r="Q1154" s="21"/>
      <c r="R1154" s="21"/>
      <c r="S1154" s="21"/>
      <c r="T1154" s="21"/>
      <c r="U1154" s="21"/>
      <c r="V1154" s="21"/>
    </row>
    <row r="1155" spans="1:22" s="2" customFormat="1" ht="30" customHeight="1" x14ac:dyDescent="0.25">
      <c r="A1155" s="661">
        <f>A1150+1</f>
        <v>337</v>
      </c>
      <c r="B1155" s="382" t="s">
        <v>41</v>
      </c>
      <c r="C1155" s="383" t="s">
        <v>2563</v>
      </c>
      <c r="D1155" s="100">
        <f>D1153+1</f>
        <v>1535</v>
      </c>
      <c r="E1155" s="427" t="s">
        <v>171</v>
      </c>
      <c r="F1155" s="693" t="s">
        <v>263</v>
      </c>
      <c r="G1155" s="924"/>
      <c r="H1155" s="922"/>
      <c r="I1155" s="923"/>
      <c r="J1155" s="198" t="str">
        <f>IF(LEN(F1155)&gt;0,"","Belum Terisi")</f>
        <v/>
      </c>
      <c r="K1155" s="31"/>
      <c r="L1155" s="31"/>
      <c r="M1155" s="21"/>
      <c r="N1155" s="21"/>
      <c r="O1155" s="21"/>
      <c r="P1155" s="21"/>
      <c r="Q1155" s="21"/>
      <c r="R1155" s="21"/>
      <c r="S1155" s="21"/>
      <c r="T1155" s="21"/>
      <c r="U1155" s="21"/>
      <c r="V1155" s="21"/>
    </row>
    <row r="1156" spans="1:22" s="2" customFormat="1" ht="30" customHeight="1" x14ac:dyDescent="0.25">
      <c r="A1156" s="666"/>
      <c r="B1156" s="382" t="s">
        <v>139</v>
      </c>
      <c r="C1156" s="383" t="s">
        <v>2569</v>
      </c>
      <c r="D1156" s="100">
        <f t="shared" ref="D1156:D1162" si="84">D1155+1</f>
        <v>1536</v>
      </c>
      <c r="E1156" s="427" t="s">
        <v>174</v>
      </c>
      <c r="F1156" s="694" t="s">
        <v>240</v>
      </c>
      <c r="G1156" s="924"/>
      <c r="H1156" s="922"/>
      <c r="I1156" s="923"/>
      <c r="J1156" s="198" t="str">
        <f>IF(LEN(F1156)&gt;0,"","Belum Terisi")</f>
        <v/>
      </c>
      <c r="K1156" s="31"/>
      <c r="L1156" s="31"/>
      <c r="M1156" s="21"/>
      <c r="N1156" s="21"/>
      <c r="O1156" s="21"/>
      <c r="P1156" s="21"/>
      <c r="Q1156" s="21"/>
      <c r="R1156" s="21"/>
      <c r="S1156" s="21"/>
      <c r="T1156" s="21"/>
      <c r="U1156" s="21"/>
      <c r="V1156" s="21"/>
    </row>
    <row r="1157" spans="1:22" s="2" customFormat="1" ht="40.15" customHeight="1" x14ac:dyDescent="0.25">
      <c r="A1157" s="663"/>
      <c r="B1157" s="382" t="s">
        <v>251</v>
      </c>
      <c r="C1157" s="383" t="s">
        <v>2564</v>
      </c>
      <c r="D1157" s="100">
        <f t="shared" si="84"/>
        <v>1537</v>
      </c>
      <c r="E1157" s="427" t="s">
        <v>188</v>
      </c>
      <c r="F1157" s="843">
        <v>0</v>
      </c>
      <c r="G1157" s="924"/>
      <c r="H1157" s="922"/>
      <c r="I1157" s="923"/>
      <c r="J1157" s="198" t="str">
        <f>IF(F1157="","Belum Terisi",IF(AND(F1155="Tidak Ada",F1157&lt;&gt;0),"CEK",IF(AND(F1155&lt;&gt;"Tidak Ada",F1157=0),"CEK","")))</f>
        <v/>
      </c>
      <c r="K1157" s="31" t="str">
        <f>IF(AND(J1157="CEK",F1155="Tidak Ada"),"Tidak Ada Komoditas Produk Lokal Desa Lainnya  Masuk Pasar Ekspor",IF(AND(J1157="CEK",F1155="Ada"),"Ada Komoditas Produk Lokal Desa Lainnya  Masuk Pasar Ekspor",""))</f>
        <v/>
      </c>
      <c r="L1157" s="31"/>
      <c r="M1157" s="21"/>
      <c r="N1157" s="21"/>
      <c r="O1157" s="21"/>
      <c r="P1157" s="21"/>
      <c r="Q1157" s="21"/>
      <c r="R1157" s="21"/>
      <c r="S1157" s="21"/>
      <c r="T1157" s="21"/>
      <c r="U1157" s="21"/>
      <c r="V1157" s="21"/>
    </row>
    <row r="1158" spans="1:22" s="2" customFormat="1" ht="30" customHeight="1" x14ac:dyDescent="0.25">
      <c r="A1158" s="662"/>
      <c r="B1158" s="382" t="s">
        <v>255</v>
      </c>
      <c r="C1158" s="383" t="s">
        <v>2565</v>
      </c>
      <c r="D1158" s="100">
        <f t="shared" si="84"/>
        <v>1538</v>
      </c>
      <c r="E1158" s="427" t="s">
        <v>174</v>
      </c>
      <c r="F1158" s="697" t="s">
        <v>240</v>
      </c>
      <c r="G1158" s="924"/>
      <c r="H1158" s="922"/>
      <c r="I1158" s="923"/>
      <c r="J1158" s="198" t="str">
        <f>IF(F1158="","Belum Terisi",IF(AND(F1155&lt;&gt;"Tidak Ada",OR(LEN(F1158)&lt;5,F1158="-")),"CEK",IF(AND(F1155="Tidak Ada",OR(LEN(F1158)&gt;1,F1158&lt;&gt;"-")),"CEK","")))</f>
        <v/>
      </c>
      <c r="K1158" s="31" t="str">
        <f>IF(AND(J1158="CEK",F1155="Tidak Ada"),"Tidak Ada Komoditas Produk Lokal Desa Lainnya  Masuk Pasar Ekspor",IF(AND(J1158="CEK",F1155="Ada"),"Ada Komoditas Produk Lokal Desa Lainnya  Masuk Pasar Ekspor",""))</f>
        <v/>
      </c>
      <c r="L1158" s="31"/>
      <c r="M1158" s="21"/>
      <c r="N1158" s="21"/>
      <c r="O1158" s="21"/>
      <c r="P1158" s="21"/>
      <c r="Q1158" s="21"/>
      <c r="R1158" s="21"/>
      <c r="S1158" s="21"/>
      <c r="T1158" s="21"/>
      <c r="U1158" s="21"/>
      <c r="V1158" s="21"/>
    </row>
    <row r="1159" spans="1:22" s="2" customFormat="1" ht="30" customHeight="1" x14ac:dyDescent="0.25">
      <c r="A1159" s="661">
        <f>A1155+1</f>
        <v>338</v>
      </c>
      <c r="B1159" s="382" t="s">
        <v>41</v>
      </c>
      <c r="C1159" s="383" t="s">
        <v>2566</v>
      </c>
      <c r="D1159" s="100">
        <f t="shared" si="84"/>
        <v>1539</v>
      </c>
      <c r="E1159" s="427" t="s">
        <v>171</v>
      </c>
      <c r="F1159" s="693" t="s">
        <v>263</v>
      </c>
      <c r="G1159" s="924"/>
      <c r="H1159" s="922"/>
      <c r="I1159" s="923"/>
      <c r="J1159" s="198" t="str">
        <f>IF(F1159="","Belum Terisi",IF(AND(F1155="Tidak Ada",F1159&lt;&gt;"Tidak Ada"),"CEK",""))</f>
        <v/>
      </c>
      <c r="K1159" s="31" t="str">
        <f>IF(J1159="CEK","Produk Unggulan Obat Pertama diisi Terlebih Dahulu","")</f>
        <v/>
      </c>
      <c r="L1159" s="31"/>
      <c r="M1159" s="21"/>
      <c r="N1159" s="21"/>
      <c r="O1159" s="21"/>
      <c r="P1159" s="21"/>
      <c r="Q1159" s="21"/>
      <c r="R1159" s="21"/>
      <c r="S1159" s="21"/>
      <c r="T1159" s="21"/>
      <c r="U1159" s="21"/>
      <c r="V1159" s="21"/>
    </row>
    <row r="1160" spans="1:22" s="2" customFormat="1" ht="30" customHeight="1" x14ac:dyDescent="0.25">
      <c r="A1160" s="666"/>
      <c r="B1160" s="382" t="s">
        <v>139</v>
      </c>
      <c r="C1160" s="383" t="s">
        <v>2570</v>
      </c>
      <c r="D1160" s="100">
        <f t="shared" si="84"/>
        <v>1540</v>
      </c>
      <c r="E1160" s="427" t="s">
        <v>174</v>
      </c>
      <c r="F1160" s="694" t="s">
        <v>240</v>
      </c>
      <c r="G1160" s="924"/>
      <c r="H1160" s="922"/>
      <c r="I1160" s="923"/>
      <c r="J1160" s="198" t="str">
        <f>IF(LEN(F1160)&gt;0,"","Belum Terisi")</f>
        <v/>
      </c>
      <c r="K1160" s="31"/>
      <c r="L1160" s="31"/>
      <c r="M1160" s="21"/>
      <c r="N1160" s="21"/>
      <c r="O1160" s="21"/>
      <c r="P1160" s="21"/>
      <c r="Q1160" s="21"/>
      <c r="R1160" s="21"/>
      <c r="S1160" s="21"/>
      <c r="T1160" s="21"/>
      <c r="U1160" s="21"/>
      <c r="V1160" s="21"/>
    </row>
    <row r="1161" spans="1:22" s="2" customFormat="1" ht="40.15" customHeight="1" x14ac:dyDescent="0.25">
      <c r="A1161" s="663"/>
      <c r="B1161" s="382" t="s">
        <v>251</v>
      </c>
      <c r="C1161" s="383" t="s">
        <v>2567</v>
      </c>
      <c r="D1161" s="100">
        <f t="shared" si="84"/>
        <v>1541</v>
      </c>
      <c r="E1161" s="427" t="s">
        <v>188</v>
      </c>
      <c r="F1161" s="843">
        <v>0</v>
      </c>
      <c r="G1161" s="924"/>
      <c r="H1161" s="922"/>
      <c r="I1161" s="923"/>
      <c r="J1161" s="198" t="str">
        <f>IF(F1161="","Belum Terisi",IF(AND(F1159="Tidak Ada",F1161&lt;&gt;0),"CEK",IF(AND(F1159&lt;&gt;"Tidak Ada",F1161=0),"CEK","")))</f>
        <v/>
      </c>
      <c r="K1161" s="31" t="str">
        <f>IF(AND(J1161="CEK",F1159="Tidak Ada"),"Tidak Ada Komoditas Produk Lokal Desa Lainnya  Masuk Pasar Ekspor",IF(AND(J1161="CEK",F1159="Ada"),"Ada Komoditas Produk Lokal Desa Lainnya  Masuk Pasar Ekspor",""))</f>
        <v/>
      </c>
      <c r="L1161" s="31"/>
      <c r="M1161" s="21"/>
      <c r="N1161" s="21"/>
      <c r="O1161" s="21"/>
      <c r="P1161" s="21"/>
      <c r="Q1161" s="21"/>
      <c r="R1161" s="21"/>
      <c r="S1161" s="21"/>
      <c r="T1161" s="21"/>
      <c r="U1161" s="21"/>
      <c r="V1161" s="21"/>
    </row>
    <row r="1162" spans="1:22" s="2" customFormat="1" ht="30" customHeight="1" x14ac:dyDescent="0.25">
      <c r="A1162" s="662"/>
      <c r="B1162" s="382" t="s">
        <v>255</v>
      </c>
      <c r="C1162" s="383" t="s">
        <v>2568</v>
      </c>
      <c r="D1162" s="100">
        <f t="shared" si="84"/>
        <v>1542</v>
      </c>
      <c r="E1162" s="427" t="s">
        <v>174</v>
      </c>
      <c r="F1162" s="697" t="s">
        <v>240</v>
      </c>
      <c r="G1162" s="924"/>
      <c r="H1162" s="922"/>
      <c r="I1162" s="923"/>
      <c r="J1162" s="198" t="str">
        <f>IF(F1162="","Belum Terisi",IF(AND(F1159&lt;&gt;"Tidak Ada",OR(LEN(F1162)&lt;5,F1162="-")),"CEK",IF(AND(F1159="Tidak Ada",OR(LEN(F1162)&gt;1,F1162&lt;&gt;"-")),"CEK","")))</f>
        <v/>
      </c>
      <c r="K1162" s="31" t="str">
        <f>IF(AND(J1162="CEK",F1159="Tidak Ada"),"Tidak Ada Komoditas Produk Lokal Desa Lainnya  Masuk Pasar Ekspor",IF(AND(J1162="CEK",F1159="Ada"),"Ada Komoditas Produk Lokal Desa Lainnya  Masuk Pasar Ekspor",""))</f>
        <v/>
      </c>
      <c r="L1162" s="31"/>
      <c r="M1162" s="21"/>
      <c r="N1162" s="21"/>
      <c r="O1162" s="21"/>
      <c r="P1162" s="21"/>
      <c r="Q1162" s="21"/>
      <c r="R1162" s="21"/>
      <c r="S1162" s="21"/>
      <c r="T1162" s="21"/>
      <c r="U1162" s="21"/>
      <c r="V1162" s="21"/>
    </row>
    <row r="1163" spans="1:22" s="2" customFormat="1" ht="30" customHeight="1" x14ac:dyDescent="0.25">
      <c r="A1163" s="613" t="s">
        <v>2280</v>
      </c>
      <c r="B1163" s="298"/>
      <c r="C1163" s="298"/>
      <c r="D1163" s="428"/>
      <c r="E1163" s="429"/>
      <c r="F1163" s="824"/>
      <c r="G1163" s="924"/>
      <c r="H1163" s="922" t="s">
        <v>863</v>
      </c>
      <c r="I1163" s="923"/>
      <c r="J1163" s="198"/>
      <c r="K1163" s="31"/>
      <c r="L1163" s="31"/>
      <c r="M1163" s="21"/>
      <c r="N1163" s="21"/>
      <c r="O1163" s="21"/>
      <c r="P1163" s="21"/>
      <c r="Q1163" s="21"/>
      <c r="R1163" s="21"/>
      <c r="S1163" s="21"/>
      <c r="T1163" s="21"/>
      <c r="U1163" s="21"/>
      <c r="V1163" s="21"/>
    </row>
    <row r="1164" spans="1:22" s="2" customFormat="1" ht="30" customHeight="1" x14ac:dyDescent="0.25">
      <c r="A1164" s="661">
        <f>A1159+1</f>
        <v>339</v>
      </c>
      <c r="B1164" s="382" t="s">
        <v>41</v>
      </c>
      <c r="C1164" s="383" t="s">
        <v>92</v>
      </c>
      <c r="D1164" s="100">
        <f>D1162+1</f>
        <v>1543</v>
      </c>
      <c r="E1164" s="427" t="s">
        <v>62</v>
      </c>
      <c r="F1164" s="718" t="s">
        <v>263</v>
      </c>
      <c r="G1164" s="924">
        <v>1</v>
      </c>
      <c r="H1164" s="928" t="s">
        <v>867</v>
      </c>
      <c r="I1164" s="923"/>
      <c r="J1164" s="198" t="str">
        <f>IF(LEN(F1164)&gt;0,"","Belum Terisi")</f>
        <v/>
      </c>
      <c r="K1164" s="31"/>
      <c r="L1164" s="43"/>
      <c r="M1164" s="21"/>
      <c r="N1164" s="21"/>
      <c r="O1164" s="21"/>
      <c r="P1164" s="21"/>
      <c r="Q1164" s="21"/>
      <c r="R1164" s="21"/>
      <c r="S1164" s="21"/>
      <c r="T1164" s="21"/>
      <c r="U1164" s="21"/>
      <c r="V1164" s="21"/>
    </row>
    <row r="1165" spans="1:22" s="2" customFormat="1" ht="30" customHeight="1" x14ac:dyDescent="0.25">
      <c r="A1165" s="662"/>
      <c r="B1165" s="382" t="s">
        <v>139</v>
      </c>
      <c r="C1165" s="383" t="s">
        <v>777</v>
      </c>
      <c r="D1165" s="100">
        <f t="shared" ref="D1165:D1169" si="85">D1164+1</f>
        <v>1544</v>
      </c>
      <c r="E1165" s="427" t="s">
        <v>171</v>
      </c>
      <c r="F1165" s="717" t="s">
        <v>240</v>
      </c>
      <c r="G1165" s="924"/>
      <c r="H1165" s="928" t="s">
        <v>773</v>
      </c>
      <c r="I1165" s="923"/>
      <c r="J1165" s="198" t="str">
        <f>IF(F1165="","Belum Terisi",IF(AND(F1164=0,F1165&lt;&gt;"Tidak Ada"),"CEK",IF(AND(F1164&gt;0,F1165="Tidak Ada"),"CEK","")))</f>
        <v/>
      </c>
      <c r="K1165" s="31" t="str">
        <f>IF(AND(J1165="CEK",F1164=0),"Jumlah Toko/ Warung "&amp;F1164,IF(AND(J1165="CEK",F1164&gt;0),"Jumlah Toko/Warung "&amp;F1164,""))</f>
        <v/>
      </c>
      <c r="L1165" s="43"/>
      <c r="M1165" s="21"/>
      <c r="N1165" s="21"/>
      <c r="O1165" s="21"/>
      <c r="P1165" s="21"/>
      <c r="Q1165" s="21"/>
      <c r="R1165" s="847" t="s">
        <v>776</v>
      </c>
      <c r="S1165" s="847"/>
      <c r="T1165" s="847"/>
      <c r="U1165" s="847"/>
      <c r="V1165" s="21"/>
    </row>
    <row r="1166" spans="1:22" s="2" customFormat="1" ht="30" customHeight="1" x14ac:dyDescent="0.25">
      <c r="A1166" s="661">
        <f>A1164+1</f>
        <v>340</v>
      </c>
      <c r="B1166" s="382" t="s">
        <v>41</v>
      </c>
      <c r="C1166" s="383" t="s">
        <v>779</v>
      </c>
      <c r="D1166" s="100">
        <f t="shared" si="85"/>
        <v>1545</v>
      </c>
      <c r="E1166" s="427" t="s">
        <v>62</v>
      </c>
      <c r="F1166" s="718">
        <v>0</v>
      </c>
      <c r="G1166" s="927"/>
      <c r="H1166" s="928" t="s">
        <v>867</v>
      </c>
      <c r="I1166" s="923"/>
      <c r="J1166" s="198" t="str">
        <f>IF(LEN(F1166)&gt;0,"","Belum Terisi")</f>
        <v/>
      </c>
      <c r="K1166" s="31"/>
      <c r="L1166" s="43"/>
      <c r="M1166" s="21"/>
      <c r="N1166" s="21"/>
      <c r="O1166" s="21"/>
      <c r="P1166" s="21"/>
      <c r="Q1166" s="21"/>
      <c r="R1166" s="21"/>
      <c r="S1166" s="21"/>
      <c r="T1166" s="21"/>
      <c r="U1166" s="21"/>
      <c r="V1166" s="21"/>
    </row>
    <row r="1167" spans="1:22" s="2" customFormat="1" ht="30" customHeight="1" x14ac:dyDescent="0.25">
      <c r="A1167" s="662"/>
      <c r="B1167" s="382" t="s">
        <v>139</v>
      </c>
      <c r="C1167" s="383" t="s">
        <v>868</v>
      </c>
      <c r="D1167" s="100">
        <f t="shared" si="85"/>
        <v>1546</v>
      </c>
      <c r="E1167" s="427" t="s">
        <v>171</v>
      </c>
      <c r="F1167" s="717" t="s">
        <v>263</v>
      </c>
      <c r="G1167" s="927"/>
      <c r="H1167" s="928" t="s">
        <v>773</v>
      </c>
      <c r="I1167" s="923"/>
      <c r="J1167" s="198" t="str">
        <f>IF(F1167="","Belum Terisi",IF(AND(F1166=0,F1167&lt;&gt;"Tidak Ada"),"CEK",IF(AND(F1166&gt;0,F1167="Tidak Ada"),"CEK","")))</f>
        <v/>
      </c>
      <c r="K1167" s="31" t="str">
        <f>IF(AND(J1167="CEK",F1166=0),"Jumlah Kedai/ Rumah Makan "&amp;F1166,IF(AND(J1167="CEK",F1166&gt;0),"Jumlah Kedai/Rumah Makan "&amp;F1166,""))</f>
        <v/>
      </c>
      <c r="L1167" s="43"/>
      <c r="M1167" s="21"/>
      <c r="N1167" s="21"/>
      <c r="O1167" s="21"/>
      <c r="P1167" s="21"/>
      <c r="Q1167" s="21"/>
      <c r="R1167" s="21" t="s">
        <v>776</v>
      </c>
      <c r="S1167" s="21"/>
      <c r="T1167" s="21"/>
      <c r="U1167" s="21"/>
      <c r="V1167" s="21"/>
    </row>
    <row r="1168" spans="1:22" s="2" customFormat="1" ht="30" customHeight="1" x14ac:dyDescent="0.25">
      <c r="A1168" s="661">
        <f>A1166+1</f>
        <v>341</v>
      </c>
      <c r="B1168" s="382" t="s">
        <v>41</v>
      </c>
      <c r="C1168" s="383" t="s">
        <v>780</v>
      </c>
      <c r="D1168" s="100">
        <f t="shared" si="85"/>
        <v>1547</v>
      </c>
      <c r="E1168" s="427" t="s">
        <v>62</v>
      </c>
      <c r="F1168" s="693" t="s">
        <v>240</v>
      </c>
      <c r="G1168" s="927"/>
      <c r="H1168" s="928" t="s">
        <v>867</v>
      </c>
      <c r="I1168" s="923"/>
      <c r="J1168" s="198" t="str">
        <f>IF(LEN(F1168)&gt;0,"","Belum Terisi")</f>
        <v/>
      </c>
      <c r="K1168" s="31"/>
      <c r="L1168" s="43"/>
      <c r="M1168" s="21"/>
      <c r="N1168" s="21"/>
      <c r="O1168" s="21"/>
      <c r="P1168" s="21"/>
      <c r="Q1168" s="21"/>
      <c r="R1168" s="21"/>
      <c r="S1168" s="21"/>
      <c r="T1168" s="21"/>
      <c r="U1168" s="21"/>
      <c r="V1168" s="21"/>
    </row>
    <row r="1169" spans="1:22" s="2" customFormat="1" ht="30" customHeight="1" x14ac:dyDescent="0.25">
      <c r="A1169" s="662"/>
      <c r="B1169" s="382" t="s">
        <v>139</v>
      </c>
      <c r="C1169" s="383" t="s">
        <v>869</v>
      </c>
      <c r="D1169" s="100">
        <f t="shared" si="85"/>
        <v>1548</v>
      </c>
      <c r="E1169" s="427" t="s">
        <v>171</v>
      </c>
      <c r="F1169" s="717">
        <v>0</v>
      </c>
      <c r="G1169" s="927"/>
      <c r="H1169" s="928" t="s">
        <v>773</v>
      </c>
      <c r="I1169" s="923"/>
      <c r="J1169" s="198" t="str">
        <f>IF(F1169="","Belum Terisi",IF(AND(F1168=0,F1169&lt;&gt;"Tidak Ada"),"CEK",IF(AND(F1168&gt;0,F1169="Tidak Ada"),"CEK","")))</f>
        <v/>
      </c>
      <c r="K1169" s="31" t="str">
        <f>IF(AND(J1169="CEK",F1168=0),"Jumlah Hotel/ Penginapan"&amp;F1168,IF(AND(J1169="CEK",F1168&gt;0),"Jumlah Hotel/ Penginapan"&amp;F1168,""))</f>
        <v/>
      </c>
      <c r="L1169" s="43"/>
      <c r="M1169" s="21"/>
      <c r="N1169" s="21"/>
      <c r="O1169" s="21"/>
      <c r="P1169" s="21"/>
      <c r="Q1169" s="21"/>
      <c r="R1169" s="21" t="s">
        <v>776</v>
      </c>
      <c r="S1169" s="21"/>
      <c r="T1169" s="21"/>
      <c r="U1169" s="21"/>
      <c r="V1169" s="21"/>
    </row>
    <row r="1170" spans="1:22" s="2" customFormat="1" ht="30" customHeight="1" x14ac:dyDescent="0.25">
      <c r="A1170" s="613" t="s">
        <v>588</v>
      </c>
      <c r="B1170" s="298"/>
      <c r="C1170" s="298"/>
      <c r="D1170" s="435"/>
      <c r="E1170" s="429"/>
      <c r="F1170" s="784" t="s">
        <v>240</v>
      </c>
      <c r="G1170" s="924"/>
      <c r="H1170" s="922"/>
      <c r="I1170" s="923"/>
      <c r="J1170" s="198"/>
      <c r="K1170" s="31"/>
      <c r="L1170" s="31"/>
      <c r="M1170" s="21"/>
      <c r="N1170" s="21"/>
      <c r="O1170" s="21"/>
      <c r="P1170" s="21"/>
      <c r="Q1170" s="21"/>
      <c r="R1170" s="21"/>
      <c r="S1170" s="21"/>
      <c r="T1170" s="21"/>
      <c r="U1170" s="21"/>
      <c r="V1170" s="21"/>
    </row>
    <row r="1171" spans="1:22" s="2" customFormat="1" ht="30" customHeight="1" x14ac:dyDescent="0.25">
      <c r="A1171" s="661">
        <f>A1168+1</f>
        <v>342</v>
      </c>
      <c r="B1171" s="382" t="s">
        <v>41</v>
      </c>
      <c r="C1171" s="383" t="s">
        <v>2281</v>
      </c>
      <c r="D1171" s="100">
        <f>D1169+1</f>
        <v>1549</v>
      </c>
      <c r="E1171" s="427" t="s">
        <v>171</v>
      </c>
      <c r="F1171" s="693" t="s">
        <v>285</v>
      </c>
      <c r="G1171" s="924"/>
      <c r="H1171" s="922"/>
      <c r="I1171" s="923"/>
      <c r="J1171" s="198" t="str">
        <f>IF(LEN(F1171)&gt;0,"","Belum Terisi")</f>
        <v/>
      </c>
      <c r="K1171" s="31"/>
      <c r="L1171" s="43"/>
      <c r="M1171" s="21"/>
      <c r="N1171" s="21"/>
      <c r="O1171" s="21"/>
      <c r="P1171" s="21"/>
      <c r="Q1171" s="21"/>
      <c r="R1171" s="21"/>
      <c r="S1171" s="21"/>
      <c r="T1171" s="21"/>
      <c r="U1171" s="21"/>
      <c r="V1171" s="21"/>
    </row>
    <row r="1172" spans="1:22" s="2" customFormat="1" ht="30" customHeight="1" x14ac:dyDescent="0.25">
      <c r="A1172" s="663"/>
      <c r="B1172" s="382" t="s">
        <v>139</v>
      </c>
      <c r="C1172" s="383" t="s">
        <v>93</v>
      </c>
      <c r="D1172" s="100">
        <f t="shared" ref="D1172:D1173" si="86">D1171+1</f>
        <v>1550</v>
      </c>
      <c r="E1172" s="427" t="s">
        <v>171</v>
      </c>
      <c r="F1172" s="694">
        <v>8</v>
      </c>
      <c r="G1172" s="924"/>
      <c r="H1172" s="922"/>
      <c r="I1172" s="923"/>
      <c r="J1172" s="198" t="str">
        <f>IF(LEN(F1172)&gt;0,"","Belum Terisi")</f>
        <v/>
      </c>
      <c r="K1172" s="31"/>
      <c r="L1172" s="43"/>
      <c r="M1172" s="21"/>
      <c r="N1172" s="21"/>
      <c r="O1172" s="21"/>
      <c r="P1172" s="21"/>
      <c r="Q1172" s="21"/>
      <c r="R1172" s="21"/>
      <c r="S1172" s="21"/>
      <c r="T1172" s="21"/>
      <c r="U1172" s="21"/>
      <c r="V1172" s="21"/>
    </row>
    <row r="1173" spans="1:22" s="2" customFormat="1" ht="30" customHeight="1" x14ac:dyDescent="0.25">
      <c r="A1173" s="662"/>
      <c r="B1173" s="382" t="s">
        <v>251</v>
      </c>
      <c r="C1173" s="383" t="s">
        <v>870</v>
      </c>
      <c r="D1173" s="100">
        <f t="shared" si="86"/>
        <v>1551</v>
      </c>
      <c r="E1173" s="427" t="s">
        <v>174</v>
      </c>
      <c r="F1173" s="697" t="s">
        <v>240</v>
      </c>
      <c r="G1173" s="924"/>
      <c r="H1173" s="922"/>
      <c r="I1173" s="923"/>
      <c r="J1173" s="198" t="str">
        <f>IF(LEN(F1173)&gt;0,"","Belum Terisi")</f>
        <v/>
      </c>
      <c r="K1173" s="31"/>
      <c r="L1173" s="31"/>
      <c r="M1173" s="21"/>
      <c r="N1173" s="21"/>
      <c r="O1173" s="21"/>
      <c r="P1173" s="21"/>
      <c r="Q1173" s="21"/>
      <c r="R1173" s="21"/>
      <c r="S1173" s="21"/>
      <c r="T1173" s="21"/>
      <c r="U1173" s="21"/>
      <c r="V1173" s="21"/>
    </row>
    <row r="1174" spans="1:22" s="2" customFormat="1" ht="30" customHeight="1" x14ac:dyDescent="0.25">
      <c r="A1174" s="613" t="s">
        <v>218</v>
      </c>
      <c r="B1174" s="298"/>
      <c r="C1174" s="298"/>
      <c r="D1174" s="435"/>
      <c r="E1174" s="429"/>
      <c r="F1174" s="746"/>
      <c r="G1174" s="924"/>
      <c r="H1174" s="922"/>
      <c r="I1174" s="923"/>
      <c r="J1174" s="98"/>
      <c r="K1174" s="31"/>
      <c r="L1174" s="43"/>
      <c r="M1174" s="21"/>
      <c r="N1174" s="21"/>
      <c r="O1174" s="21"/>
      <c r="P1174" s="21"/>
      <c r="Q1174" s="21"/>
      <c r="R1174" s="21"/>
      <c r="S1174" s="21"/>
      <c r="T1174" s="21"/>
      <c r="U1174" s="21"/>
      <c r="V1174" s="21"/>
    </row>
    <row r="1175" spans="1:22" s="2" customFormat="1" ht="30" customHeight="1" x14ac:dyDescent="0.25">
      <c r="A1175" s="661">
        <f>A1171+1</f>
        <v>343</v>
      </c>
      <c r="B1175" s="382" t="s">
        <v>41</v>
      </c>
      <c r="C1175" s="383" t="s">
        <v>2282</v>
      </c>
      <c r="D1175" s="100">
        <f>D1173+1</f>
        <v>1552</v>
      </c>
      <c r="E1175" s="427" t="s">
        <v>171</v>
      </c>
      <c r="F1175" s="828" t="s">
        <v>263</v>
      </c>
      <c r="G1175" s="924"/>
      <c r="H1175" s="922"/>
      <c r="I1175" s="923"/>
      <c r="J1175" s="198" t="str">
        <f>IF(LEN(F1175)&gt;0,"","Belum Terisi")</f>
        <v/>
      </c>
      <c r="K1175" s="31"/>
      <c r="L1175" s="43"/>
      <c r="M1175" s="21"/>
      <c r="N1175" s="21"/>
      <c r="O1175" s="21"/>
      <c r="P1175" s="21"/>
      <c r="Q1175" s="21"/>
      <c r="R1175" s="21"/>
      <c r="S1175" s="21"/>
      <c r="T1175" s="21"/>
      <c r="U1175" s="21"/>
      <c r="V1175" s="21"/>
    </row>
    <row r="1176" spans="1:22" s="2" customFormat="1" ht="30" customHeight="1" x14ac:dyDescent="0.25">
      <c r="A1176" s="663"/>
      <c r="B1176" s="382" t="s">
        <v>139</v>
      </c>
      <c r="C1176" s="383" t="s">
        <v>2285</v>
      </c>
      <c r="D1176" s="100">
        <f>D1175+1</f>
        <v>1553</v>
      </c>
      <c r="E1176" s="427" t="s">
        <v>62</v>
      </c>
      <c r="F1176" s="716">
        <v>0</v>
      </c>
      <c r="G1176" s="924"/>
      <c r="H1176" s="922" t="s">
        <v>147</v>
      </c>
      <c r="I1176" s="923"/>
      <c r="J1176" s="198" t="str">
        <f>IF(F1176="","Belum Terisi",IF(AND(F1175="Ada",F1176=0),"CEK",IF(AND(F1175="Tidak Ada",F1176&lt;&gt;0),"CEK","")))</f>
        <v/>
      </c>
      <c r="K1176" s="31" t="str">
        <f>IF(J1176="CEK",F1175&amp;" Gudang Pangan Milik Pribadi","")</f>
        <v/>
      </c>
      <c r="L1176" s="43"/>
      <c r="M1176" s="21"/>
      <c r="N1176" s="21"/>
      <c r="O1176" s="21"/>
      <c r="P1176" s="21"/>
      <c r="Q1176" s="21"/>
      <c r="R1176" s="21"/>
      <c r="S1176" s="21"/>
      <c r="T1176" s="21"/>
      <c r="U1176" s="21"/>
      <c r="V1176" s="21"/>
    </row>
    <row r="1177" spans="1:22" s="2" customFormat="1" ht="30" customHeight="1" x14ac:dyDescent="0.25">
      <c r="A1177" s="662"/>
      <c r="B1177" s="382" t="s">
        <v>251</v>
      </c>
      <c r="C1177" s="383" t="s">
        <v>2288</v>
      </c>
      <c r="D1177" s="100">
        <f t="shared" ref="D1177:D1183" si="87">D1176+1</f>
        <v>1554</v>
      </c>
      <c r="E1177" s="427" t="s">
        <v>166</v>
      </c>
      <c r="F1177" s="829">
        <v>0</v>
      </c>
      <c r="G1177" s="924"/>
      <c r="H1177" s="922" t="s">
        <v>197</v>
      </c>
      <c r="I1177" s="923"/>
      <c r="J1177" s="198" t="str">
        <f>IF(F1177="","Belum Terisi",IF(AND(F1175="Ada",F1177=0),"CEK",IF(AND(F1175="Tidak Ada",F1177&lt;&gt;0),"CEK","")))</f>
        <v/>
      </c>
      <c r="K1177" s="31" t="str">
        <f>IF(J1177="CEK",F1175&amp;" Gudang Pangan Milik Pribadi","")</f>
        <v/>
      </c>
      <c r="L1177" s="31"/>
      <c r="M1177" s="21"/>
      <c r="N1177" s="21"/>
      <c r="O1177" s="21"/>
      <c r="P1177" s="21"/>
      <c r="Q1177" s="847" t="s">
        <v>671</v>
      </c>
      <c r="R1177" s="21"/>
      <c r="S1177" s="21"/>
      <c r="T1177" s="21"/>
      <c r="U1177" s="21"/>
      <c r="V1177" s="21"/>
    </row>
    <row r="1178" spans="1:22" s="2" customFormat="1" ht="30" customHeight="1" x14ac:dyDescent="0.25">
      <c r="A1178" s="661">
        <f>A1175+1</f>
        <v>344</v>
      </c>
      <c r="B1178" s="382" t="s">
        <v>41</v>
      </c>
      <c r="C1178" s="383" t="s">
        <v>2283</v>
      </c>
      <c r="D1178" s="100">
        <f t="shared" si="87"/>
        <v>1555</v>
      </c>
      <c r="E1178" s="427" t="s">
        <v>171</v>
      </c>
      <c r="F1178" s="828" t="s">
        <v>263</v>
      </c>
      <c r="G1178" s="924"/>
      <c r="H1178" s="922"/>
      <c r="I1178" s="923"/>
      <c r="J1178" s="198" t="str">
        <f>IF(LEN(F1178)&gt;0,"","Belum Terisi")</f>
        <v/>
      </c>
      <c r="K1178" s="31"/>
      <c r="L1178" s="43"/>
      <c r="M1178" s="21"/>
      <c r="N1178" s="21" t="s">
        <v>668</v>
      </c>
      <c r="O1178" s="21"/>
      <c r="P1178" s="21"/>
      <c r="Q1178" s="21"/>
      <c r="R1178" s="21"/>
      <c r="S1178" s="21"/>
      <c r="T1178" s="21"/>
      <c r="U1178" s="21"/>
      <c r="V1178" s="21"/>
    </row>
    <row r="1179" spans="1:22" s="2" customFormat="1" ht="30" customHeight="1" x14ac:dyDescent="0.25">
      <c r="A1179" s="663"/>
      <c r="B1179" s="382" t="s">
        <v>139</v>
      </c>
      <c r="C1179" s="383" t="s">
        <v>2286</v>
      </c>
      <c r="D1179" s="100">
        <f t="shared" si="87"/>
        <v>1556</v>
      </c>
      <c r="E1179" s="427" t="s">
        <v>62</v>
      </c>
      <c r="F1179" s="716">
        <v>0</v>
      </c>
      <c r="G1179" s="924"/>
      <c r="H1179" s="922" t="s">
        <v>147</v>
      </c>
      <c r="I1179" s="923"/>
      <c r="J1179" s="198" t="str">
        <f>IF(F1179="","Belum Terisi",IF(AND(F1178="Ada",F1179=0),"CEK",IF(AND(F1178="Tidak Ada",F1179&lt;&gt;0),"CEK","")))</f>
        <v/>
      </c>
      <c r="K1179" s="31" t="str">
        <f>IF(J1179="CEK",F1178&amp;" Gudang Pangan Milik Swasta","")</f>
        <v/>
      </c>
      <c r="L1179" s="43"/>
      <c r="M1179" s="21"/>
      <c r="N1179" s="21" t="s">
        <v>668</v>
      </c>
      <c r="O1179" s="21"/>
      <c r="P1179" s="21"/>
      <c r="Q1179" s="21"/>
      <c r="R1179" s="21"/>
      <c r="S1179" s="21"/>
      <c r="T1179" s="21"/>
      <c r="U1179" s="21"/>
      <c r="V1179" s="21"/>
    </row>
    <row r="1180" spans="1:22" s="2" customFormat="1" ht="30" customHeight="1" x14ac:dyDescent="0.25">
      <c r="A1180" s="662"/>
      <c r="B1180" s="382" t="s">
        <v>251</v>
      </c>
      <c r="C1180" s="383" t="s">
        <v>2289</v>
      </c>
      <c r="D1180" s="100">
        <f t="shared" si="87"/>
        <v>1557</v>
      </c>
      <c r="E1180" s="427" t="s">
        <v>166</v>
      </c>
      <c r="F1180" s="829">
        <v>0</v>
      </c>
      <c r="G1180" s="924"/>
      <c r="H1180" s="922" t="s">
        <v>197</v>
      </c>
      <c r="I1180" s="923"/>
      <c r="J1180" s="198" t="str">
        <f>IF(F1180="","Belum Terisi",IF(AND(F1178="Ada",F1180=0),"CEK",IF(AND(F1178="Tidak Ada",F1180&lt;&gt;0),"CEK","")))</f>
        <v/>
      </c>
      <c r="K1180" s="31" t="str">
        <f>IF(J1180="CEK",F1178&amp;" Gudang Pangan Milik Swasta","")</f>
        <v/>
      </c>
      <c r="L1180" s="31"/>
      <c r="M1180" s="21"/>
      <c r="N1180" s="21" t="s">
        <v>668</v>
      </c>
      <c r="O1180" s="21"/>
      <c r="P1180" s="21"/>
      <c r="Q1180" s="847" t="s">
        <v>671</v>
      </c>
      <c r="R1180" s="21"/>
      <c r="S1180" s="21"/>
      <c r="T1180" s="21"/>
      <c r="U1180" s="21"/>
      <c r="V1180" s="21"/>
    </row>
    <row r="1181" spans="1:22" s="2" customFormat="1" ht="30" customHeight="1" x14ac:dyDescent="0.25">
      <c r="A1181" s="661">
        <f>A1178+1</f>
        <v>345</v>
      </c>
      <c r="B1181" s="382" t="s">
        <v>41</v>
      </c>
      <c r="C1181" s="383" t="s">
        <v>2284</v>
      </c>
      <c r="D1181" s="100">
        <f t="shared" si="87"/>
        <v>1558</v>
      </c>
      <c r="E1181" s="427" t="s">
        <v>171</v>
      </c>
      <c r="F1181" s="828" t="s">
        <v>263</v>
      </c>
      <c r="G1181" s="924"/>
      <c r="H1181" s="922"/>
      <c r="I1181" s="923"/>
      <c r="J1181" s="198" t="str">
        <f>IF(LEN(F1181)&gt;0,"","Belum Terisi")</f>
        <v/>
      </c>
      <c r="K1181" s="31"/>
      <c r="L1181" s="43"/>
      <c r="M1181" s="21"/>
      <c r="N1181" s="21"/>
      <c r="O1181" s="21"/>
      <c r="P1181" s="21"/>
      <c r="Q1181" s="21"/>
      <c r="R1181" s="21"/>
      <c r="S1181" s="21"/>
      <c r="T1181" s="21"/>
      <c r="U1181" s="21"/>
      <c r="V1181" s="21"/>
    </row>
    <row r="1182" spans="1:22" s="2" customFormat="1" ht="30" customHeight="1" x14ac:dyDescent="0.25">
      <c r="A1182" s="663"/>
      <c r="B1182" s="382" t="s">
        <v>139</v>
      </c>
      <c r="C1182" s="383" t="s">
        <v>2287</v>
      </c>
      <c r="D1182" s="100">
        <f t="shared" si="87"/>
        <v>1559</v>
      </c>
      <c r="E1182" s="427" t="s">
        <v>62</v>
      </c>
      <c r="F1182" s="716">
        <v>0</v>
      </c>
      <c r="G1182" s="924"/>
      <c r="H1182" s="922" t="s">
        <v>147</v>
      </c>
      <c r="I1182" s="923"/>
      <c r="J1182" s="198" t="str">
        <f>IF(F1182="","Belum Terisi",IF(AND(F1181="Ada",F1182=0),"CEK",IF(AND(F1181="Tidak Ada",F1182&lt;&gt;0),"CEK","")))</f>
        <v/>
      </c>
      <c r="K1182" s="31" t="str">
        <f>IF(J1182="CEK",F1181&amp;" Gudang Pangan Milik Pemerintah","")</f>
        <v/>
      </c>
      <c r="L1182" s="43"/>
      <c r="M1182" s="21"/>
      <c r="N1182" s="21"/>
      <c r="O1182" s="21"/>
      <c r="P1182" s="21"/>
      <c r="Q1182" s="21"/>
      <c r="R1182" s="21"/>
      <c r="S1182" s="21"/>
      <c r="T1182" s="21"/>
      <c r="U1182" s="21"/>
      <c r="V1182" s="21"/>
    </row>
    <row r="1183" spans="1:22" s="2" customFormat="1" ht="30" customHeight="1" x14ac:dyDescent="0.25">
      <c r="A1183" s="662"/>
      <c r="B1183" s="382" t="s">
        <v>251</v>
      </c>
      <c r="C1183" s="383" t="s">
        <v>2290</v>
      </c>
      <c r="D1183" s="100">
        <f t="shared" si="87"/>
        <v>1560</v>
      </c>
      <c r="E1183" s="427" t="s">
        <v>166</v>
      </c>
      <c r="F1183" s="829">
        <v>0</v>
      </c>
      <c r="G1183" s="924"/>
      <c r="H1183" s="922" t="s">
        <v>197</v>
      </c>
      <c r="I1183" s="923"/>
      <c r="J1183" s="198" t="str">
        <f>IF(F1183="","Belum Terisi",IF(AND(F1181="Ada",F1183=0),"CEK",IF(AND(F1181="Tidak Ada",F1183&lt;&gt;0),"CEK","")))</f>
        <v/>
      </c>
      <c r="K1183" s="31" t="str">
        <f>IF(J1183="CEK",F1181&amp;" Gudang Pangan Milik Pemerintah","")</f>
        <v/>
      </c>
      <c r="L1183" s="31"/>
      <c r="M1183" s="21"/>
      <c r="N1183" s="21"/>
      <c r="O1183" s="21"/>
      <c r="P1183" s="21"/>
      <c r="Q1183" s="847" t="s">
        <v>671</v>
      </c>
      <c r="R1183" s="21"/>
      <c r="S1183" s="21"/>
      <c r="T1183" s="21"/>
      <c r="U1183" s="21"/>
      <c r="V1183" s="21"/>
    </row>
    <row r="1184" spans="1:22" s="2" customFormat="1" ht="30" customHeight="1" x14ac:dyDescent="0.25">
      <c r="A1184" s="613" t="s">
        <v>388</v>
      </c>
      <c r="B1184" s="298"/>
      <c r="C1184" s="298"/>
      <c r="D1184" s="435"/>
      <c r="E1184" s="429"/>
      <c r="F1184" s="746"/>
      <c r="G1184" s="924"/>
      <c r="H1184" s="922"/>
      <c r="I1184" s="923"/>
      <c r="J1184" s="198"/>
      <c r="K1184" s="31"/>
      <c r="L1184" s="31"/>
      <c r="M1184" s="21"/>
      <c r="N1184" s="21"/>
      <c r="O1184" s="21"/>
      <c r="P1184" s="21"/>
      <c r="Q1184" s="847"/>
      <c r="R1184" s="21"/>
      <c r="S1184" s="21"/>
      <c r="T1184" s="21"/>
      <c r="U1184" s="21"/>
      <c r="V1184" s="21"/>
    </row>
    <row r="1185" spans="1:22" s="2" customFormat="1" ht="30" customHeight="1" x14ac:dyDescent="0.25">
      <c r="A1185" s="665">
        <f>A1181+1</f>
        <v>346</v>
      </c>
      <c r="B1185" s="384"/>
      <c r="C1185" s="383" t="s">
        <v>95</v>
      </c>
      <c r="D1185" s="100">
        <f>D1183+1</f>
        <v>1561</v>
      </c>
      <c r="E1185" s="427" t="s">
        <v>62</v>
      </c>
      <c r="F1185" s="730">
        <v>1</v>
      </c>
      <c r="G1185" s="924"/>
      <c r="H1185" s="922" t="s">
        <v>153</v>
      </c>
      <c r="I1185" s="923"/>
      <c r="J1185" s="198" t="str">
        <f>IF(LEN(F1185)&gt;0,"","Belum Terisi")</f>
        <v/>
      </c>
      <c r="K1185" s="31"/>
      <c r="L1185" s="43"/>
      <c r="M1185" s="21"/>
      <c r="N1185" s="21"/>
      <c r="O1185" s="21"/>
      <c r="P1185" s="21"/>
      <c r="Q1185" s="21"/>
      <c r="R1185" s="21"/>
      <c r="S1185" s="21"/>
      <c r="T1185" s="21"/>
      <c r="U1185" s="21"/>
      <c r="V1185" s="21"/>
    </row>
    <row r="1186" spans="1:22" s="2" customFormat="1" ht="30" customHeight="1" x14ac:dyDescent="0.25">
      <c r="A1186" s="661">
        <f>A1185+1</f>
        <v>347</v>
      </c>
      <c r="B1186" s="382" t="s">
        <v>41</v>
      </c>
      <c r="C1186" s="383" t="s">
        <v>2291</v>
      </c>
      <c r="D1186" s="100">
        <f>D1185+1</f>
        <v>1562</v>
      </c>
      <c r="E1186" s="427" t="s">
        <v>174</v>
      </c>
      <c r="F1186" s="699" t="s">
        <v>2832</v>
      </c>
      <c r="G1186" s="924"/>
      <c r="H1186" s="922"/>
      <c r="I1186" s="923"/>
      <c r="J1186" s="198" t="str">
        <f>IF(LEN(F1186)&gt;0,"","Belum Terisi")</f>
        <v/>
      </c>
      <c r="K1186" s="31"/>
      <c r="L1186" s="43"/>
      <c r="M1186" s="21"/>
      <c r="N1186" s="21"/>
      <c r="O1186" s="21"/>
      <c r="P1186" s="21"/>
      <c r="Q1186" s="21"/>
      <c r="R1186" s="21"/>
      <c r="S1186" s="21"/>
      <c r="T1186" s="21"/>
      <c r="U1186" s="21"/>
      <c r="V1186" s="21"/>
    </row>
    <row r="1187" spans="1:22" s="2" customFormat="1" ht="30" customHeight="1" x14ac:dyDescent="0.25">
      <c r="A1187" s="663"/>
      <c r="B1187" s="382" t="s">
        <v>139</v>
      </c>
      <c r="C1187" s="383" t="s">
        <v>2292</v>
      </c>
      <c r="D1187" s="100">
        <f t="shared" ref="D1187:D1247" si="88">D1186+1</f>
        <v>1563</v>
      </c>
      <c r="E1187" s="427" t="s">
        <v>174</v>
      </c>
      <c r="F1187" s="693" t="s">
        <v>240</v>
      </c>
      <c r="G1187" s="924"/>
      <c r="H1187" s="925"/>
      <c r="I1187" s="922"/>
      <c r="J1187" s="198" t="str">
        <f>IF(LEN(F1187)&gt;0,"","Belum Terisi")</f>
        <v/>
      </c>
      <c r="K1187" s="31"/>
      <c r="L1187" s="31"/>
      <c r="M1187" s="21"/>
      <c r="N1187" s="21"/>
      <c r="O1187" s="21"/>
      <c r="P1187" s="21"/>
      <c r="Q1187" s="21"/>
      <c r="R1187" s="21"/>
      <c r="S1187" s="21"/>
      <c r="T1187" s="21"/>
      <c r="U1187" s="21"/>
      <c r="V1187" s="21"/>
    </row>
    <row r="1188" spans="1:22" s="2" customFormat="1" ht="30" customHeight="1" x14ac:dyDescent="0.25">
      <c r="A1188" s="662"/>
      <c r="B1188" s="382" t="s">
        <v>251</v>
      </c>
      <c r="C1188" s="383" t="s">
        <v>2293</v>
      </c>
      <c r="D1188" s="100">
        <f t="shared" si="88"/>
        <v>1564</v>
      </c>
      <c r="E1188" s="427" t="s">
        <v>171</v>
      </c>
      <c r="F1188" s="697" t="s">
        <v>263</v>
      </c>
      <c r="G1188" s="924"/>
      <c r="H1188" s="925"/>
      <c r="I1188" s="922"/>
      <c r="J1188" s="198" t="str">
        <f>IF(LEN(F1188)&gt;0,"","Belum Terisi")</f>
        <v/>
      </c>
      <c r="K1188" s="31"/>
      <c r="L1188" s="43"/>
      <c r="M1188" s="21"/>
      <c r="N1188" s="21"/>
      <c r="O1188" s="21"/>
      <c r="P1188" s="21"/>
      <c r="Q1188" s="21"/>
      <c r="R1188" s="21"/>
      <c r="S1188" s="21"/>
      <c r="T1188" s="21"/>
      <c r="U1188" s="21"/>
      <c r="V1188" s="21"/>
    </row>
    <row r="1189" spans="1:22" s="2" customFormat="1" ht="30" customHeight="1" x14ac:dyDescent="0.25">
      <c r="A1189" s="661">
        <f>A1186+1</f>
        <v>348</v>
      </c>
      <c r="B1189" s="382" t="s">
        <v>41</v>
      </c>
      <c r="C1189" s="830" t="s">
        <v>2294</v>
      </c>
      <c r="D1189" s="100">
        <f t="shared" si="88"/>
        <v>1565</v>
      </c>
      <c r="E1189" s="427" t="s">
        <v>171</v>
      </c>
      <c r="F1189" s="699" t="s">
        <v>285</v>
      </c>
      <c r="G1189" s="924"/>
      <c r="H1189" s="925"/>
      <c r="I1189" s="922"/>
      <c r="J1189" s="198" t="str">
        <f>IF(LEN(F1189)&gt;0,"","Belum Terisi")</f>
        <v/>
      </c>
      <c r="K1189" s="31"/>
      <c r="L1189" s="43"/>
      <c r="M1189" s="21"/>
      <c r="N1189" s="847" t="s">
        <v>668</v>
      </c>
      <c r="O1189" s="21"/>
      <c r="P1189" s="21"/>
      <c r="Q1189" s="21"/>
      <c r="R1189" s="21"/>
      <c r="S1189" s="21"/>
      <c r="T1189" s="21"/>
      <c r="U1189" s="21"/>
      <c r="V1189" s="21"/>
    </row>
    <row r="1190" spans="1:22" s="2" customFormat="1" ht="30" customHeight="1" x14ac:dyDescent="0.25">
      <c r="A1190" s="663"/>
      <c r="B1190" s="382" t="s">
        <v>139</v>
      </c>
      <c r="C1190" s="383" t="s">
        <v>2301</v>
      </c>
      <c r="D1190" s="100">
        <f t="shared" si="88"/>
        <v>1566</v>
      </c>
      <c r="E1190" s="427" t="s">
        <v>171</v>
      </c>
      <c r="F1190" s="693" t="s">
        <v>285</v>
      </c>
      <c r="G1190" s="924"/>
      <c r="H1190" s="925"/>
      <c r="I1190" s="922"/>
      <c r="J1190" s="198" t="str">
        <f>IF(F1190="","Belum Terisi",IF(AND($F$1189="Tidak Ada",F1190="Ada"),"CEK",IF(AND($F$1189="Ada",COUNTIF($F$1190:$F$1193,"Tidak Ada")=4),"CEK","")))</f>
        <v/>
      </c>
      <c r="K1190" s="31" t="str">
        <f>IF(J1190="CEK",$F$1189&amp;" Bumdesa Bisnis Sosial","")</f>
        <v/>
      </c>
      <c r="L1190" s="43"/>
      <c r="M1190" s="21"/>
      <c r="N1190" s="21" t="s">
        <v>668</v>
      </c>
      <c r="O1190" s="21"/>
      <c r="P1190" s="21"/>
      <c r="Q1190" s="21"/>
      <c r="R1190" s="21"/>
      <c r="S1190" s="21"/>
      <c r="T1190" s="21"/>
      <c r="U1190" s="21"/>
      <c r="V1190" s="21"/>
    </row>
    <row r="1191" spans="1:22" s="2" customFormat="1" ht="30" customHeight="1" x14ac:dyDescent="0.25">
      <c r="A1191" s="663"/>
      <c r="B1191" s="382" t="s">
        <v>251</v>
      </c>
      <c r="C1191" s="383" t="s">
        <v>2308</v>
      </c>
      <c r="D1191" s="100">
        <f t="shared" si="88"/>
        <v>1567</v>
      </c>
      <c r="E1191" s="427" t="s">
        <v>171</v>
      </c>
      <c r="F1191" s="694" t="s">
        <v>285</v>
      </c>
      <c r="G1191" s="924"/>
      <c r="H1191" s="925"/>
      <c r="I1191" s="922"/>
      <c r="J1191" s="198" t="str">
        <f>IF(F1191="","Belum Terisi",IF(AND($F$1189="Tidak Ada",F1191="Ada"),"CEK",IF(AND($F$1189="Ada",COUNTIF($F$1190:$F$1193,"Tidak Ada")=4),"CEK","")))</f>
        <v/>
      </c>
      <c r="K1191" s="31" t="str">
        <f>IF(J1191="CEK",$F$1189&amp;" Bumdesa Bisnis Sosial","")</f>
        <v/>
      </c>
      <c r="L1191" s="31"/>
      <c r="M1191" s="21"/>
      <c r="N1191" s="21" t="s">
        <v>668</v>
      </c>
      <c r="O1191" s="21"/>
      <c r="P1191" s="21"/>
      <c r="Q1191" s="21"/>
      <c r="R1191" s="21"/>
      <c r="S1191" s="21"/>
      <c r="T1191" s="21"/>
      <c r="U1191" s="21"/>
      <c r="V1191" s="21"/>
    </row>
    <row r="1192" spans="1:22" s="2" customFormat="1" ht="30" customHeight="1" x14ac:dyDescent="0.25">
      <c r="A1192" s="663"/>
      <c r="B1192" s="382" t="s">
        <v>255</v>
      </c>
      <c r="C1192" s="383" t="s">
        <v>2315</v>
      </c>
      <c r="D1192" s="100">
        <f t="shared" si="88"/>
        <v>1568</v>
      </c>
      <c r="E1192" s="427" t="s">
        <v>171</v>
      </c>
      <c r="F1192" s="694" t="s">
        <v>285</v>
      </c>
      <c r="G1192" s="924"/>
      <c r="H1192" s="925"/>
      <c r="I1192" s="922"/>
      <c r="J1192" s="198" t="str">
        <f>IF(F1192="","Belum Terisi",IF(AND($F$1189="Tidak Ada",F1192="Ada"),"CEK",IF(AND($F$1189="Ada",COUNTIF($F$1190:$F$1193,"Tidak Ada")=4),"CEK","")))</f>
        <v/>
      </c>
      <c r="K1192" s="31" t="str">
        <f>IF(J1192="CEK",$F$1189&amp;" Bumdesa Bisnis Sosial","")</f>
        <v/>
      </c>
      <c r="L1192" s="43"/>
      <c r="M1192" s="21"/>
      <c r="N1192" s="21" t="s">
        <v>668</v>
      </c>
      <c r="O1192" s="21"/>
      <c r="P1192" s="21"/>
      <c r="Q1192" s="21"/>
      <c r="R1192" s="21"/>
      <c r="S1192" s="21"/>
      <c r="T1192" s="21"/>
      <c r="U1192" s="21"/>
      <c r="V1192" s="21"/>
    </row>
    <row r="1193" spans="1:22" s="2" customFormat="1" ht="30" customHeight="1" x14ac:dyDescent="0.25">
      <c r="A1193" s="662"/>
      <c r="B1193" s="382" t="s">
        <v>252</v>
      </c>
      <c r="C1193" s="383" t="s">
        <v>2322</v>
      </c>
      <c r="D1193" s="100">
        <f t="shared" si="88"/>
        <v>1569</v>
      </c>
      <c r="E1193" s="427" t="s">
        <v>171</v>
      </c>
      <c r="F1193" s="697" t="s">
        <v>285</v>
      </c>
      <c r="G1193" s="924"/>
      <c r="H1193" s="925"/>
      <c r="I1193" s="922"/>
      <c r="J1193" s="198" t="str">
        <f>IF(F1193="","Belum Terisi",IF(AND($F$1189="Tidak Ada",F1193="Ada"),"CEK",IF(AND($F$1189="Ada",COUNTIF($F$1190:$F$1193,"Tidak Ada")=4),"CEK","")))</f>
        <v/>
      </c>
      <c r="K1193" s="31" t="str">
        <f>IF(J1193="CEK",$F$1189&amp;" Bumdesa Bisnis Sosial","")</f>
        <v/>
      </c>
      <c r="L1193" s="43"/>
      <c r="M1193" s="21"/>
      <c r="N1193" s="21" t="s">
        <v>668</v>
      </c>
      <c r="O1193" s="21"/>
      <c r="P1193" s="21"/>
      <c r="Q1193" s="21"/>
      <c r="R1193" s="21"/>
      <c r="S1193" s="21"/>
      <c r="T1193" s="21"/>
      <c r="U1193" s="21"/>
      <c r="V1193" s="21"/>
    </row>
    <row r="1194" spans="1:22" s="2" customFormat="1" ht="30" customHeight="1" x14ac:dyDescent="0.25">
      <c r="A1194" s="661">
        <f>A1189+1</f>
        <v>349</v>
      </c>
      <c r="B1194" s="382" t="s">
        <v>41</v>
      </c>
      <c r="C1194" s="830" t="s">
        <v>2295</v>
      </c>
      <c r="D1194" s="100">
        <f t="shared" si="88"/>
        <v>1570</v>
      </c>
      <c r="E1194" s="427" t="s">
        <v>171</v>
      </c>
      <c r="F1194" s="699" t="s">
        <v>285</v>
      </c>
      <c r="G1194" s="924"/>
      <c r="H1194" s="925"/>
      <c r="I1194" s="922"/>
      <c r="J1194" s="198" t="str">
        <f>IF(LEN(F1194)&gt;0,"","Belum Terisi")</f>
        <v/>
      </c>
      <c r="K1194" s="31"/>
      <c r="L1194" s="43"/>
      <c r="M1194" s="21"/>
      <c r="N1194" s="847" t="s">
        <v>668</v>
      </c>
      <c r="O1194" s="21"/>
      <c r="P1194" s="21"/>
      <c r="Q1194" s="21"/>
      <c r="R1194" s="21"/>
      <c r="S1194" s="21"/>
      <c r="T1194" s="21"/>
      <c r="U1194" s="21"/>
      <c r="V1194" s="21"/>
    </row>
    <row r="1195" spans="1:22" s="2" customFormat="1" ht="30" customHeight="1" x14ac:dyDescent="0.25">
      <c r="A1195" s="663"/>
      <c r="B1195" s="382" t="s">
        <v>139</v>
      </c>
      <c r="C1195" s="383" t="s">
        <v>2302</v>
      </c>
      <c r="D1195" s="100">
        <f t="shared" si="88"/>
        <v>1571</v>
      </c>
      <c r="E1195" s="427" t="s">
        <v>171</v>
      </c>
      <c r="F1195" s="693" t="s">
        <v>285</v>
      </c>
      <c r="G1195" s="924"/>
      <c r="H1195" s="925"/>
      <c r="I1195" s="922"/>
      <c r="J1195" s="198" t="str">
        <f>IF(F1195="","Belum Terisi",IF(AND($F$1194="Tidak Ada",F1195="Ada"),"CEK",IF(AND($F$1194="Ada",COUNTIF($F$1195:$F$1198,"Tidak Ada")=4),"CEK","")))</f>
        <v/>
      </c>
      <c r="K1195" s="31" t="str">
        <f>IF(J1195="CEK",$F$1194&amp;" Bumdesa Jasa Penyewaan","")</f>
        <v/>
      </c>
      <c r="L1195" s="31"/>
      <c r="M1195" s="21"/>
      <c r="N1195" s="21"/>
      <c r="O1195" s="21"/>
      <c r="P1195" s="21"/>
      <c r="Q1195" s="21"/>
      <c r="R1195" s="21"/>
      <c r="S1195" s="21"/>
      <c r="T1195" s="21"/>
      <c r="U1195" s="21"/>
      <c r="V1195" s="21"/>
    </row>
    <row r="1196" spans="1:22" s="2" customFormat="1" ht="30" customHeight="1" x14ac:dyDescent="0.25">
      <c r="A1196" s="663"/>
      <c r="B1196" s="382" t="s">
        <v>251</v>
      </c>
      <c r="C1196" s="383" t="s">
        <v>2309</v>
      </c>
      <c r="D1196" s="100">
        <f t="shared" si="88"/>
        <v>1572</v>
      </c>
      <c r="E1196" s="427" t="s">
        <v>171</v>
      </c>
      <c r="F1196" s="694" t="s">
        <v>285</v>
      </c>
      <c r="G1196" s="924"/>
      <c r="H1196" s="925"/>
      <c r="I1196" s="922"/>
      <c r="J1196" s="198" t="str">
        <f>IF(F1196="","Belum Terisi",IF(AND($F$1194="Tidak Ada",F1196="Ada"),"CEK",IF(AND($F$1194="Ada",COUNTIF($F$1195:$F$1198,"Tidak Ada")=4),"CEK","")))</f>
        <v/>
      </c>
      <c r="K1196" s="31" t="str">
        <f>IF(J1196="CEK",$F$1194&amp;" Bumdesa Jasa Penyewaan","")</f>
        <v/>
      </c>
      <c r="L1196" s="43"/>
      <c r="M1196" s="21"/>
      <c r="N1196" s="21"/>
      <c r="O1196" s="21"/>
      <c r="P1196" s="21"/>
      <c r="Q1196" s="21"/>
      <c r="R1196" s="21"/>
      <c r="S1196" s="21"/>
      <c r="T1196" s="21"/>
      <c r="U1196" s="21"/>
      <c r="V1196" s="21"/>
    </row>
    <row r="1197" spans="1:22" s="2" customFormat="1" ht="30" customHeight="1" x14ac:dyDescent="0.25">
      <c r="A1197" s="663"/>
      <c r="B1197" s="382" t="s">
        <v>255</v>
      </c>
      <c r="C1197" s="383" t="s">
        <v>2316</v>
      </c>
      <c r="D1197" s="100">
        <f t="shared" si="88"/>
        <v>1573</v>
      </c>
      <c r="E1197" s="427" t="s">
        <v>171</v>
      </c>
      <c r="F1197" s="694" t="s">
        <v>285</v>
      </c>
      <c r="G1197" s="924"/>
      <c r="H1197" s="925"/>
      <c r="I1197" s="922"/>
      <c r="J1197" s="198" t="str">
        <f>IF(F1197="","Belum Terisi",IF(AND($F$1194="Tidak Ada",F1197="Ada"),"CEK",IF(AND($F$1194="Ada",COUNTIF($F$1195:$F$1198,"Tidak Ada")=4),"CEK","")))</f>
        <v/>
      </c>
      <c r="K1197" s="31" t="str">
        <f>IF(J1197="CEK",$F$1194&amp;" Bumdesa Jasa Penyewaan","")</f>
        <v/>
      </c>
      <c r="L1197" s="43"/>
      <c r="M1197" s="21"/>
      <c r="N1197" s="21"/>
      <c r="O1197" s="21"/>
      <c r="P1197" s="21"/>
      <c r="Q1197" s="21"/>
      <c r="R1197" s="21"/>
      <c r="S1197" s="21"/>
      <c r="T1197" s="21"/>
      <c r="U1197" s="21"/>
      <c r="V1197" s="21"/>
    </row>
    <row r="1198" spans="1:22" s="2" customFormat="1" ht="30" customHeight="1" x14ac:dyDescent="0.25">
      <c r="A1198" s="662"/>
      <c r="B1198" s="382" t="s">
        <v>252</v>
      </c>
      <c r="C1198" s="383" t="s">
        <v>2323</v>
      </c>
      <c r="D1198" s="100">
        <f t="shared" si="88"/>
        <v>1574</v>
      </c>
      <c r="E1198" s="427" t="s">
        <v>171</v>
      </c>
      <c r="F1198" s="697" t="s">
        <v>285</v>
      </c>
      <c r="G1198" s="924"/>
      <c r="H1198" s="925"/>
      <c r="I1198" s="922"/>
      <c r="J1198" s="198" t="str">
        <f>IF(F1198="","Belum Terisi",IF(AND($F$1194="Tidak Ada",F1198="Ada"),"CEK",IF(AND($F$1194="Ada",COUNTIF($F$1195:$F$1198,"Tidak Ada")=4),"CEK","")))</f>
        <v/>
      </c>
      <c r="K1198" s="31" t="str">
        <f>IF(J1198="CEK",$F$1194&amp;" Bumdesa Jasa Penyewaan","")</f>
        <v/>
      </c>
      <c r="L1198" s="43"/>
      <c r="M1198" s="21"/>
      <c r="N1198" s="21"/>
      <c r="O1198" s="21"/>
      <c r="P1198" s="21"/>
      <c r="Q1198" s="21"/>
      <c r="R1198" s="21"/>
      <c r="S1198" s="21"/>
      <c r="T1198" s="21"/>
      <c r="U1198" s="21"/>
      <c r="V1198" s="21"/>
    </row>
    <row r="1199" spans="1:22" s="2" customFormat="1" ht="30" customHeight="1" x14ac:dyDescent="0.25">
      <c r="A1199" s="661">
        <f>A1194+1</f>
        <v>350</v>
      </c>
      <c r="B1199" s="382" t="s">
        <v>41</v>
      </c>
      <c r="C1199" s="830" t="s">
        <v>2296</v>
      </c>
      <c r="D1199" s="100">
        <f t="shared" si="88"/>
        <v>1575</v>
      </c>
      <c r="E1199" s="427" t="s">
        <v>171</v>
      </c>
      <c r="F1199" s="699" t="s">
        <v>285</v>
      </c>
      <c r="G1199" s="924"/>
      <c r="H1199" s="925"/>
      <c r="I1199" s="922"/>
      <c r="J1199" s="198" t="str">
        <f>IF(LEN(F1199)&gt;0,"","Belum Terisi")</f>
        <v/>
      </c>
      <c r="K1199" s="31"/>
      <c r="L1199" s="31"/>
      <c r="M1199" s="21"/>
      <c r="N1199" s="847" t="s">
        <v>668</v>
      </c>
      <c r="O1199" s="21"/>
      <c r="P1199" s="21"/>
      <c r="Q1199" s="21"/>
      <c r="R1199" s="21"/>
      <c r="S1199" s="21"/>
      <c r="T1199" s="21"/>
      <c r="U1199" s="21"/>
      <c r="V1199" s="21"/>
    </row>
    <row r="1200" spans="1:22" s="2" customFormat="1" ht="30" customHeight="1" x14ac:dyDescent="0.25">
      <c r="A1200" s="663"/>
      <c r="B1200" s="382" t="s">
        <v>139</v>
      </c>
      <c r="C1200" s="383" t="s">
        <v>2303</v>
      </c>
      <c r="D1200" s="100">
        <f t="shared" si="88"/>
        <v>1576</v>
      </c>
      <c r="E1200" s="427" t="s">
        <v>171</v>
      </c>
      <c r="F1200" s="693" t="s">
        <v>263</v>
      </c>
      <c r="G1200" s="924"/>
      <c r="H1200" s="925"/>
      <c r="I1200" s="922"/>
      <c r="J1200" s="198" t="str">
        <f>IF(F1200="","Belum Terisi",IF(AND($F$1199="Tidak Ada",F1200="Ada"),"CEK",IF(AND(F1199="Ada",COUNTIF($F$1200:$F$1206,"Tidak Ada")=4),"CEK","")))</f>
        <v/>
      </c>
      <c r="K1200" s="31" t="str">
        <f>IF(J1200="CEK",$F$1199&amp;" Bumdesa Perdagangan","")</f>
        <v/>
      </c>
      <c r="L1200" s="43"/>
      <c r="M1200" s="21"/>
      <c r="N1200" s="21"/>
      <c r="O1200" s="21"/>
      <c r="P1200" s="21"/>
      <c r="Q1200" s="21"/>
      <c r="R1200" s="21"/>
      <c r="S1200" s="21"/>
      <c r="T1200" s="21"/>
      <c r="U1200" s="21"/>
      <c r="V1200" s="21"/>
    </row>
    <row r="1201" spans="1:22" s="2" customFormat="1" ht="30" customHeight="1" x14ac:dyDescent="0.25">
      <c r="A1201" s="663"/>
      <c r="B1201" s="382" t="s">
        <v>251</v>
      </c>
      <c r="C1201" s="383" t="s">
        <v>2310</v>
      </c>
      <c r="D1201" s="100">
        <f t="shared" si="88"/>
        <v>1577</v>
      </c>
      <c r="E1201" s="427" t="s">
        <v>174</v>
      </c>
      <c r="F1201" s="694" t="s">
        <v>240</v>
      </c>
      <c r="G1201" s="924"/>
      <c r="H1201" s="925"/>
      <c r="I1201" s="922"/>
      <c r="J1201" s="198" t="str">
        <f>IF(LEN(F1201)&gt;0,"","Belum Terisi")</f>
        <v/>
      </c>
      <c r="K1201" s="31"/>
      <c r="L1201" s="43"/>
      <c r="M1201" s="21"/>
      <c r="N1201" s="21"/>
      <c r="O1201" s="21"/>
      <c r="P1201" s="21"/>
      <c r="Q1201" s="21"/>
      <c r="R1201" s="21"/>
      <c r="S1201" s="21"/>
      <c r="T1201" s="21"/>
      <c r="U1201" s="21"/>
      <c r="V1201" s="21"/>
    </row>
    <row r="1202" spans="1:22" s="2" customFormat="1" ht="30" customHeight="1" x14ac:dyDescent="0.25">
      <c r="A1202" s="663"/>
      <c r="B1202" s="382" t="s">
        <v>255</v>
      </c>
      <c r="C1202" s="383" t="s">
        <v>2317</v>
      </c>
      <c r="D1202" s="100">
        <f t="shared" si="88"/>
        <v>1578</v>
      </c>
      <c r="E1202" s="427" t="s">
        <v>171</v>
      </c>
      <c r="F1202" s="694" t="s">
        <v>263</v>
      </c>
      <c r="G1202" s="924"/>
      <c r="H1202" s="925"/>
      <c r="I1202" s="922"/>
      <c r="J1202" s="198" t="str">
        <f>IF(F1202="","Belum Terisi",IF(AND($F$1199="Tidak Ada",F1202="Ada"),"CEK",IF(AND(F1201="Ada",COUNTIF($F$1200:$F$1206,"Tidak Ada")=4),"CEK","")))</f>
        <v/>
      </c>
      <c r="K1202" s="31" t="str">
        <f>IF(J1202="CEK",$F$1199&amp;" Bumdesa Perdagangan","")</f>
        <v/>
      </c>
      <c r="L1202" s="43"/>
      <c r="M1202" s="21"/>
      <c r="N1202" s="21"/>
      <c r="O1202" s="21"/>
      <c r="P1202" s="21"/>
      <c r="Q1202" s="21"/>
      <c r="R1202" s="21"/>
      <c r="S1202" s="21"/>
      <c r="T1202" s="21"/>
      <c r="U1202" s="21"/>
      <c r="V1202" s="21"/>
    </row>
    <row r="1203" spans="1:22" s="2" customFormat="1" ht="30" customHeight="1" x14ac:dyDescent="0.25">
      <c r="A1203" s="663"/>
      <c r="B1203" s="382" t="s">
        <v>252</v>
      </c>
      <c r="C1203" s="383" t="s">
        <v>2324</v>
      </c>
      <c r="D1203" s="100">
        <f t="shared" si="88"/>
        <v>1579</v>
      </c>
      <c r="E1203" s="427" t="s">
        <v>174</v>
      </c>
      <c r="F1203" s="694" t="s">
        <v>240</v>
      </c>
      <c r="G1203" s="924"/>
      <c r="H1203" s="925"/>
      <c r="I1203" s="922"/>
      <c r="J1203" s="198" t="str">
        <f>IF(LEN(F1203)&gt;0,"","Belum Terisi")</f>
        <v/>
      </c>
      <c r="K1203" s="31"/>
      <c r="L1203" s="31"/>
      <c r="M1203" s="21"/>
      <c r="N1203" s="21"/>
      <c r="O1203" s="21"/>
      <c r="P1203" s="21"/>
      <c r="Q1203" s="21"/>
      <c r="R1203" s="21"/>
      <c r="S1203" s="21"/>
      <c r="T1203" s="21"/>
      <c r="U1203" s="21"/>
      <c r="V1203" s="21"/>
    </row>
    <row r="1204" spans="1:22" s="2" customFormat="1" ht="30" customHeight="1" x14ac:dyDescent="0.25">
      <c r="A1204" s="666"/>
      <c r="B1204" s="382" t="s">
        <v>253</v>
      </c>
      <c r="C1204" s="383" t="s">
        <v>2328</v>
      </c>
      <c r="D1204" s="100">
        <f t="shared" si="88"/>
        <v>1580</v>
      </c>
      <c r="E1204" s="427" t="s">
        <v>171</v>
      </c>
      <c r="F1204" s="694" t="s">
        <v>263</v>
      </c>
      <c r="G1204" s="924"/>
      <c r="H1204" s="925"/>
      <c r="I1204" s="922"/>
      <c r="J1204" s="198" t="str">
        <f>IF(F1204="","Belum Terisi",IF(AND($F$1199="Tidak Ada",F1204="Ada"),"CEK",IF(AND(F1203="Ada",COUNTIF($F$1200:$F$1206,"Tidak Ada")=4),"CEK","")))</f>
        <v/>
      </c>
      <c r="K1204" s="31" t="str">
        <f>IF(J1204="CEK",$F$1199&amp;" Bumdesa Perdagangan","")</f>
        <v/>
      </c>
      <c r="L1204" s="43"/>
      <c r="M1204" s="21"/>
      <c r="N1204" s="21"/>
      <c r="O1204" s="21"/>
      <c r="P1204" s="21"/>
      <c r="Q1204" s="21"/>
      <c r="R1204" s="21"/>
      <c r="S1204" s="21"/>
      <c r="T1204" s="21"/>
      <c r="U1204" s="21"/>
      <c r="V1204" s="21"/>
    </row>
    <row r="1205" spans="1:22" s="2" customFormat="1" ht="30" customHeight="1" x14ac:dyDescent="0.25">
      <c r="A1205" s="663"/>
      <c r="B1205" s="382" t="s">
        <v>254</v>
      </c>
      <c r="C1205" s="383" t="s">
        <v>2331</v>
      </c>
      <c r="D1205" s="100">
        <f t="shared" si="88"/>
        <v>1581</v>
      </c>
      <c r="E1205" s="427" t="s">
        <v>174</v>
      </c>
      <c r="F1205" s="694" t="s">
        <v>240</v>
      </c>
      <c r="G1205" s="924"/>
      <c r="H1205" s="925"/>
      <c r="I1205" s="922"/>
      <c r="J1205" s="198" t="str">
        <f>IF(LEN(F1205)&gt;0,"","Belum Terisi")</f>
        <v/>
      </c>
      <c r="K1205" s="31"/>
      <c r="L1205" s="43"/>
      <c r="M1205" s="21"/>
      <c r="N1205" s="21"/>
      <c r="O1205" s="21"/>
      <c r="P1205" s="21"/>
      <c r="Q1205" s="21"/>
      <c r="R1205" s="21"/>
      <c r="S1205" s="21"/>
      <c r="T1205" s="21"/>
      <c r="U1205" s="21"/>
      <c r="V1205" s="21"/>
    </row>
    <row r="1206" spans="1:22" s="2" customFormat="1" ht="30" customHeight="1" x14ac:dyDescent="0.25">
      <c r="A1206" s="662"/>
      <c r="B1206" s="382" t="s">
        <v>256</v>
      </c>
      <c r="C1206" s="383" t="s">
        <v>2334</v>
      </c>
      <c r="D1206" s="100">
        <f t="shared" si="88"/>
        <v>1582</v>
      </c>
      <c r="E1206" s="427" t="s">
        <v>171</v>
      </c>
      <c r="F1206" s="697" t="s">
        <v>285</v>
      </c>
      <c r="G1206" s="924"/>
      <c r="H1206" s="925"/>
      <c r="I1206" s="922"/>
      <c r="J1206" s="198" t="str">
        <f>IF(F1206="","Belum Terisi",IF(AND($F$1199="Tidak Ada",F1206="Ada"),"CEK",IF(AND(F1205="Ada",COUNTIF($F$1200:$F$1206,"Tidak Ada")=4),"CEK","")))</f>
        <v/>
      </c>
      <c r="K1206" s="31" t="str">
        <f>IF(J1206="CEK",$F$1199&amp;" Bumdesa Perdagangan","")</f>
        <v/>
      </c>
      <c r="L1206" s="43"/>
      <c r="M1206" s="21"/>
      <c r="N1206" s="21"/>
      <c r="O1206" s="21"/>
      <c r="P1206" s="21"/>
      <c r="Q1206" s="21"/>
      <c r="R1206" s="21"/>
      <c r="S1206" s="21"/>
      <c r="T1206" s="21"/>
      <c r="U1206" s="21"/>
      <c r="V1206" s="21"/>
    </row>
    <row r="1207" spans="1:22" s="2" customFormat="1" ht="30" customHeight="1" x14ac:dyDescent="0.25">
      <c r="A1207" s="661">
        <f>A1199+1</f>
        <v>351</v>
      </c>
      <c r="B1207" s="382" t="s">
        <v>41</v>
      </c>
      <c r="C1207" s="830" t="s">
        <v>2297</v>
      </c>
      <c r="D1207" s="100">
        <f t="shared" si="88"/>
        <v>1583</v>
      </c>
      <c r="E1207" s="427" t="s">
        <v>171</v>
      </c>
      <c r="F1207" s="699" t="s">
        <v>285</v>
      </c>
      <c r="G1207" s="924"/>
      <c r="H1207" s="925"/>
      <c r="I1207" s="922"/>
      <c r="J1207" s="198" t="str">
        <f>IF(LEN(F1207)&gt;0,"","Belum Terisi")</f>
        <v/>
      </c>
      <c r="K1207" s="31"/>
      <c r="L1207" s="31"/>
      <c r="M1207" s="21"/>
      <c r="N1207" s="21"/>
      <c r="O1207" s="21"/>
      <c r="P1207" s="21"/>
      <c r="Q1207" s="21"/>
      <c r="R1207" s="21"/>
      <c r="S1207" s="21"/>
      <c r="T1207" s="21"/>
      <c r="U1207" s="21"/>
      <c r="V1207" s="21"/>
    </row>
    <row r="1208" spans="1:22" s="2" customFormat="1" ht="30" customHeight="1" x14ac:dyDescent="0.25">
      <c r="A1208" s="663"/>
      <c r="B1208" s="382" t="s">
        <v>139</v>
      </c>
      <c r="C1208" s="383" t="s">
        <v>2304</v>
      </c>
      <c r="D1208" s="100">
        <f t="shared" si="88"/>
        <v>1584</v>
      </c>
      <c r="E1208" s="427" t="s">
        <v>171</v>
      </c>
      <c r="F1208" s="693" t="s">
        <v>285</v>
      </c>
      <c r="G1208" s="924"/>
      <c r="H1208" s="925"/>
      <c r="I1208" s="922"/>
      <c r="J1208" s="198" t="str">
        <f t="shared" ref="J1208:J1215" si="89">IF(F1208="","Belum Terisi",IF(AND($F$1207="Tidak Ada",F1208="Ada"),"CEK",IF(AND($F$1207="Ada",COUNTIF($F$1208:$F$1215,"Tidak Ada")=8),"CEK","")))</f>
        <v/>
      </c>
      <c r="K1208" s="31" t="str">
        <f t="shared" ref="K1208:K1215" si="90">IF(J1208="CEK",$F$1207&amp;" Bumdesa Keuangan","")</f>
        <v/>
      </c>
      <c r="L1208" s="43"/>
      <c r="M1208" s="21"/>
      <c r="N1208" s="21"/>
      <c r="O1208" s="21"/>
      <c r="P1208" s="21"/>
      <c r="Q1208" s="21"/>
      <c r="R1208" s="21"/>
      <c r="S1208" s="21"/>
      <c r="T1208" s="21"/>
      <c r="U1208" s="21"/>
      <c r="V1208" s="21"/>
    </row>
    <row r="1209" spans="1:22" s="2" customFormat="1" ht="30" customHeight="1" x14ac:dyDescent="0.25">
      <c r="A1209" s="663"/>
      <c r="B1209" s="382" t="s">
        <v>251</v>
      </c>
      <c r="C1209" s="383" t="s">
        <v>2311</v>
      </c>
      <c r="D1209" s="100">
        <f t="shared" si="88"/>
        <v>1585</v>
      </c>
      <c r="E1209" s="427" t="s">
        <v>171</v>
      </c>
      <c r="F1209" s="694" t="s">
        <v>263</v>
      </c>
      <c r="G1209" s="924"/>
      <c r="H1209" s="925"/>
      <c r="I1209" s="922"/>
      <c r="J1209" s="198" t="str">
        <f t="shared" si="89"/>
        <v/>
      </c>
      <c r="K1209" s="31" t="str">
        <f t="shared" si="90"/>
        <v/>
      </c>
      <c r="L1209" s="43"/>
      <c r="M1209" s="21"/>
      <c r="N1209" s="21"/>
      <c r="O1209" s="21"/>
      <c r="P1209" s="21"/>
      <c r="Q1209" s="21"/>
      <c r="R1209" s="21"/>
      <c r="S1209" s="21"/>
      <c r="T1209" s="21"/>
      <c r="U1209" s="21"/>
      <c r="V1209" s="21"/>
    </row>
    <row r="1210" spans="1:22" s="2" customFormat="1" ht="30" customHeight="1" x14ac:dyDescent="0.25">
      <c r="A1210" s="663"/>
      <c r="B1210" s="382" t="s">
        <v>255</v>
      </c>
      <c r="C1210" s="383" t="s">
        <v>2318</v>
      </c>
      <c r="D1210" s="100">
        <f t="shared" si="88"/>
        <v>1586</v>
      </c>
      <c r="E1210" s="427" t="s">
        <v>171</v>
      </c>
      <c r="F1210" s="694" t="s">
        <v>263</v>
      </c>
      <c r="G1210" s="924"/>
      <c r="H1210" s="925"/>
      <c r="I1210" s="922"/>
      <c r="J1210" s="198" t="str">
        <f t="shared" si="89"/>
        <v/>
      </c>
      <c r="K1210" s="31" t="str">
        <f t="shared" si="90"/>
        <v/>
      </c>
      <c r="L1210" s="43"/>
      <c r="M1210" s="21"/>
      <c r="N1210" s="847" t="s">
        <v>668</v>
      </c>
      <c r="O1210" s="21"/>
      <c r="P1210" s="21"/>
      <c r="Q1210" s="21"/>
      <c r="R1210" s="21"/>
      <c r="S1210" s="21"/>
      <c r="T1210" s="21"/>
      <c r="U1210" s="21"/>
      <c r="V1210" s="21"/>
    </row>
    <row r="1211" spans="1:22" s="2" customFormat="1" ht="30" customHeight="1" x14ac:dyDescent="0.25">
      <c r="A1211" s="663"/>
      <c r="B1211" s="382" t="s">
        <v>252</v>
      </c>
      <c r="C1211" s="383" t="s">
        <v>2325</v>
      </c>
      <c r="D1211" s="100">
        <f t="shared" si="88"/>
        <v>1587</v>
      </c>
      <c r="E1211" s="427" t="s">
        <v>171</v>
      </c>
      <c r="F1211" s="694" t="s">
        <v>263</v>
      </c>
      <c r="G1211" s="924"/>
      <c r="H1211" s="925"/>
      <c r="I1211" s="922"/>
      <c r="J1211" s="198" t="str">
        <f t="shared" si="89"/>
        <v/>
      </c>
      <c r="K1211" s="31" t="str">
        <f t="shared" si="90"/>
        <v/>
      </c>
      <c r="L1211" s="31"/>
      <c r="M1211" s="21"/>
      <c r="N1211" s="21"/>
      <c r="O1211" s="21"/>
      <c r="P1211" s="21"/>
      <c r="Q1211" s="21"/>
      <c r="R1211" s="21"/>
      <c r="S1211" s="21"/>
      <c r="T1211" s="21"/>
      <c r="U1211" s="21"/>
      <c r="V1211" s="21"/>
    </row>
    <row r="1212" spans="1:22" s="2" customFormat="1" ht="30" customHeight="1" x14ac:dyDescent="0.25">
      <c r="A1212" s="666"/>
      <c r="B1212" s="382" t="s">
        <v>253</v>
      </c>
      <c r="C1212" s="383" t="s">
        <v>2329</v>
      </c>
      <c r="D1212" s="100">
        <f t="shared" si="88"/>
        <v>1588</v>
      </c>
      <c r="E1212" s="427" t="s">
        <v>171</v>
      </c>
      <c r="F1212" s="694" t="s">
        <v>263</v>
      </c>
      <c r="G1212" s="924"/>
      <c r="H1212" s="925"/>
      <c r="I1212" s="922"/>
      <c r="J1212" s="198" t="str">
        <f t="shared" si="89"/>
        <v/>
      </c>
      <c r="K1212" s="31" t="str">
        <f t="shared" si="90"/>
        <v/>
      </c>
      <c r="L1212" s="43"/>
      <c r="M1212" s="21"/>
      <c r="N1212" s="21"/>
      <c r="O1212" s="21"/>
      <c r="P1212" s="21"/>
      <c r="Q1212" s="21"/>
      <c r="R1212" s="21"/>
      <c r="S1212" s="21"/>
      <c r="T1212" s="21"/>
      <c r="U1212" s="21"/>
      <c r="V1212" s="21"/>
    </row>
    <row r="1213" spans="1:22" s="2" customFormat="1" ht="30" customHeight="1" x14ac:dyDescent="0.25">
      <c r="A1213" s="663"/>
      <c r="B1213" s="382" t="s">
        <v>254</v>
      </c>
      <c r="C1213" s="383" t="s">
        <v>2332</v>
      </c>
      <c r="D1213" s="100">
        <f t="shared" si="88"/>
        <v>1589</v>
      </c>
      <c r="E1213" s="427" t="s">
        <v>171</v>
      </c>
      <c r="F1213" s="694" t="s">
        <v>285</v>
      </c>
      <c r="G1213" s="924"/>
      <c r="H1213" s="925"/>
      <c r="I1213" s="922"/>
      <c r="J1213" s="198" t="str">
        <f t="shared" si="89"/>
        <v/>
      </c>
      <c r="K1213" s="31" t="str">
        <f t="shared" si="90"/>
        <v/>
      </c>
      <c r="L1213" s="43"/>
      <c r="M1213" s="21"/>
      <c r="N1213" s="21"/>
      <c r="O1213" s="21"/>
      <c r="P1213" s="21"/>
      <c r="Q1213" s="21"/>
      <c r="R1213" s="21"/>
      <c r="S1213" s="21"/>
      <c r="T1213" s="21"/>
      <c r="U1213" s="21"/>
      <c r="V1213" s="21"/>
    </row>
    <row r="1214" spans="1:22" s="2" customFormat="1" ht="30" customHeight="1" x14ac:dyDescent="0.25">
      <c r="A1214" s="663"/>
      <c r="B1214" s="382" t="s">
        <v>256</v>
      </c>
      <c r="C1214" s="383" t="s">
        <v>2335</v>
      </c>
      <c r="D1214" s="100">
        <f t="shared" si="88"/>
        <v>1590</v>
      </c>
      <c r="E1214" s="427" t="s">
        <v>171</v>
      </c>
      <c r="F1214" s="694" t="s">
        <v>263</v>
      </c>
      <c r="G1214" s="924"/>
      <c r="H1214" s="925"/>
      <c r="I1214" s="922"/>
      <c r="J1214" s="198" t="str">
        <f t="shared" si="89"/>
        <v/>
      </c>
      <c r="K1214" s="31" t="str">
        <f t="shared" si="90"/>
        <v/>
      </c>
      <c r="L1214" s="43"/>
      <c r="M1214" s="21"/>
      <c r="N1214" s="21"/>
      <c r="O1214" s="21"/>
      <c r="P1214" s="21"/>
      <c r="Q1214" s="21"/>
      <c r="R1214" s="21"/>
      <c r="S1214" s="21"/>
      <c r="T1214" s="21"/>
      <c r="U1214" s="21"/>
      <c r="V1214" s="21"/>
    </row>
    <row r="1215" spans="1:22" s="2" customFormat="1" ht="30" customHeight="1" x14ac:dyDescent="0.25">
      <c r="A1215" s="662"/>
      <c r="B1215" s="382" t="s">
        <v>257</v>
      </c>
      <c r="C1215" s="383" t="s">
        <v>2336</v>
      </c>
      <c r="D1215" s="100">
        <f t="shared" si="88"/>
        <v>1591</v>
      </c>
      <c r="E1215" s="427" t="s">
        <v>171</v>
      </c>
      <c r="F1215" s="697" t="s">
        <v>263</v>
      </c>
      <c r="G1215" s="924"/>
      <c r="H1215" s="925"/>
      <c r="I1215" s="922"/>
      <c r="J1215" s="198" t="str">
        <f t="shared" si="89"/>
        <v/>
      </c>
      <c r="K1215" s="31" t="str">
        <f t="shared" si="90"/>
        <v/>
      </c>
      <c r="L1215" s="31"/>
      <c r="M1215" s="21"/>
      <c r="N1215" s="21"/>
      <c r="O1215" s="21"/>
      <c r="P1215" s="21"/>
      <c r="Q1215" s="21"/>
      <c r="R1215" s="21"/>
      <c r="S1215" s="21"/>
      <c r="T1215" s="21"/>
      <c r="U1215" s="21"/>
      <c r="V1215" s="21"/>
    </row>
    <row r="1216" spans="1:22" s="2" customFormat="1" ht="30" customHeight="1" x14ac:dyDescent="0.25">
      <c r="A1216" s="661">
        <f>A1207+1</f>
        <v>352</v>
      </c>
      <c r="B1216" s="382" t="s">
        <v>41</v>
      </c>
      <c r="C1216" s="830" t="s">
        <v>2298</v>
      </c>
      <c r="D1216" s="100">
        <f t="shared" si="88"/>
        <v>1592</v>
      </c>
      <c r="E1216" s="427" t="s">
        <v>171</v>
      </c>
      <c r="F1216" s="699" t="s">
        <v>285</v>
      </c>
      <c r="G1216" s="924"/>
      <c r="H1216" s="925"/>
      <c r="I1216" s="922"/>
      <c r="J1216" s="198" t="str">
        <f>IF(LEN(F1216)&gt;0,"","Belum Terisi")</f>
        <v/>
      </c>
      <c r="K1216" s="31"/>
      <c r="L1216" s="43"/>
      <c r="M1216" s="21"/>
      <c r="N1216" s="847" t="s">
        <v>668</v>
      </c>
      <c r="O1216" s="21"/>
      <c r="P1216" s="21"/>
      <c r="Q1216" s="21"/>
      <c r="R1216" s="21"/>
      <c r="S1216" s="21"/>
      <c r="T1216" s="21"/>
      <c r="U1216" s="21"/>
      <c r="V1216" s="21"/>
    </row>
    <row r="1217" spans="1:22" s="2" customFormat="1" ht="30" customHeight="1" x14ac:dyDescent="0.25">
      <c r="A1217" s="663"/>
      <c r="B1217" s="382" t="s">
        <v>139</v>
      </c>
      <c r="C1217" s="383" t="s">
        <v>2305</v>
      </c>
      <c r="D1217" s="100">
        <f t="shared" si="88"/>
        <v>1593</v>
      </c>
      <c r="E1217" s="427" t="s">
        <v>171</v>
      </c>
      <c r="F1217" s="693" t="s">
        <v>285</v>
      </c>
      <c r="G1217" s="924"/>
      <c r="H1217" s="925"/>
      <c r="I1217" s="922"/>
      <c r="J1217" s="198" t="str">
        <f t="shared" ref="J1217:J1222" si="91">IF(F1217="","Belum Terisi",IF(AND($F$1216="Tidak Ada",F1217="Ada"),"CEK",IF(AND($F$1216="Ada",COUNTIF($F$1217:$F$1222,"Tidak Ada")=6),"CEK","")))</f>
        <v/>
      </c>
      <c r="K1217" s="31" t="str">
        <f t="shared" ref="K1217:K1222" si="92">IF(J1217="CEK",$F$1216&amp;" Bumdesa Perantara (Layanan)","")</f>
        <v/>
      </c>
      <c r="L1217" s="43"/>
      <c r="M1217" s="21"/>
      <c r="N1217" s="21"/>
      <c r="O1217" s="21"/>
      <c r="P1217" s="21"/>
      <c r="Q1217" s="21"/>
      <c r="R1217" s="21"/>
      <c r="S1217" s="21"/>
      <c r="T1217" s="21"/>
      <c r="U1217" s="21"/>
      <c r="V1217" s="21"/>
    </row>
    <row r="1218" spans="1:22" s="2" customFormat="1" ht="30" customHeight="1" x14ac:dyDescent="0.25">
      <c r="A1218" s="663"/>
      <c r="B1218" s="382" t="s">
        <v>251</v>
      </c>
      <c r="C1218" s="383" t="s">
        <v>2312</v>
      </c>
      <c r="D1218" s="100">
        <f t="shared" si="88"/>
        <v>1594</v>
      </c>
      <c r="E1218" s="427" t="s">
        <v>171</v>
      </c>
      <c r="F1218" s="694" t="s">
        <v>263</v>
      </c>
      <c r="G1218" s="924"/>
      <c r="H1218" s="925"/>
      <c r="I1218" s="922"/>
      <c r="J1218" s="198" t="str">
        <f t="shared" si="91"/>
        <v/>
      </c>
      <c r="K1218" s="31" t="str">
        <f t="shared" si="92"/>
        <v/>
      </c>
      <c r="L1218" s="43"/>
      <c r="M1218" s="21"/>
      <c r="N1218" s="21"/>
      <c r="O1218" s="21"/>
      <c r="P1218" s="21"/>
      <c r="Q1218" s="21"/>
      <c r="R1218" s="21"/>
      <c r="S1218" s="21"/>
      <c r="T1218" s="21"/>
      <c r="U1218" s="21"/>
      <c r="V1218" s="21"/>
    </row>
    <row r="1219" spans="1:22" s="2" customFormat="1" ht="30" customHeight="1" x14ac:dyDescent="0.25">
      <c r="A1219" s="663"/>
      <c r="B1219" s="382" t="s">
        <v>255</v>
      </c>
      <c r="C1219" s="383" t="s">
        <v>2319</v>
      </c>
      <c r="D1219" s="100">
        <f t="shared" si="88"/>
        <v>1595</v>
      </c>
      <c r="E1219" s="427" t="s">
        <v>171</v>
      </c>
      <c r="F1219" s="694" t="s">
        <v>263</v>
      </c>
      <c r="G1219" s="924"/>
      <c r="H1219" s="925"/>
      <c r="I1219" s="922"/>
      <c r="J1219" s="198" t="str">
        <f t="shared" si="91"/>
        <v/>
      </c>
      <c r="K1219" s="31" t="str">
        <f t="shared" si="92"/>
        <v/>
      </c>
      <c r="L1219" s="31"/>
      <c r="M1219" s="21"/>
      <c r="N1219" s="21"/>
      <c r="O1219" s="21"/>
      <c r="P1219" s="21"/>
      <c r="Q1219" s="21"/>
      <c r="R1219" s="21"/>
      <c r="S1219" s="21"/>
      <c r="T1219" s="21"/>
      <c r="U1219" s="21"/>
      <c r="V1219" s="21"/>
    </row>
    <row r="1220" spans="1:22" s="2" customFormat="1" ht="30" customHeight="1" x14ac:dyDescent="0.25">
      <c r="A1220" s="663"/>
      <c r="B1220" s="382" t="s">
        <v>252</v>
      </c>
      <c r="C1220" s="383" t="s">
        <v>2326</v>
      </c>
      <c r="D1220" s="100">
        <f t="shared" si="88"/>
        <v>1596</v>
      </c>
      <c r="E1220" s="427" t="s">
        <v>171</v>
      </c>
      <c r="F1220" s="694" t="s">
        <v>263</v>
      </c>
      <c r="G1220" s="924"/>
      <c r="H1220" s="925"/>
      <c r="I1220" s="922"/>
      <c r="J1220" s="198" t="str">
        <f t="shared" si="91"/>
        <v/>
      </c>
      <c r="K1220" s="31" t="str">
        <f t="shared" si="92"/>
        <v/>
      </c>
      <c r="L1220" s="43"/>
      <c r="M1220" s="21"/>
      <c r="N1220" s="21"/>
      <c r="O1220" s="21"/>
      <c r="P1220" s="21"/>
      <c r="Q1220" s="21"/>
      <c r="R1220" s="21"/>
      <c r="S1220" s="21"/>
      <c r="T1220" s="21"/>
      <c r="U1220" s="21"/>
      <c r="V1220" s="21"/>
    </row>
    <row r="1221" spans="1:22" s="2" customFormat="1" ht="30" customHeight="1" x14ac:dyDescent="0.25">
      <c r="A1221" s="666"/>
      <c r="B1221" s="382" t="s">
        <v>253</v>
      </c>
      <c r="C1221" s="383" t="s">
        <v>2330</v>
      </c>
      <c r="D1221" s="100">
        <f t="shared" si="88"/>
        <v>1597</v>
      </c>
      <c r="E1221" s="427" t="s">
        <v>171</v>
      </c>
      <c r="F1221" s="694" t="s">
        <v>263</v>
      </c>
      <c r="G1221" s="924"/>
      <c r="H1221" s="925"/>
      <c r="I1221" s="922"/>
      <c r="J1221" s="198" t="str">
        <f t="shared" si="91"/>
        <v/>
      </c>
      <c r="K1221" s="31" t="str">
        <f t="shared" si="92"/>
        <v/>
      </c>
      <c r="L1221" s="43"/>
      <c r="M1221" s="21"/>
      <c r="N1221" s="21"/>
      <c r="O1221" s="21"/>
      <c r="P1221" s="21"/>
      <c r="Q1221" s="21"/>
      <c r="R1221" s="21"/>
      <c r="S1221" s="21"/>
      <c r="T1221" s="21"/>
      <c r="U1221" s="21"/>
      <c r="V1221" s="21"/>
    </row>
    <row r="1222" spans="1:22" s="2" customFormat="1" ht="30" customHeight="1" x14ac:dyDescent="0.25">
      <c r="A1222" s="662"/>
      <c r="B1222" s="382" t="s">
        <v>254</v>
      </c>
      <c r="C1222" s="383" t="s">
        <v>2333</v>
      </c>
      <c r="D1222" s="100">
        <f t="shared" si="88"/>
        <v>1598</v>
      </c>
      <c r="E1222" s="427" t="s">
        <v>171</v>
      </c>
      <c r="F1222" s="697" t="s">
        <v>263</v>
      </c>
      <c r="G1222" s="924"/>
      <c r="H1222" s="925"/>
      <c r="I1222" s="922"/>
      <c r="J1222" s="198" t="str">
        <f t="shared" si="91"/>
        <v/>
      </c>
      <c r="K1222" s="31" t="str">
        <f t="shared" si="92"/>
        <v/>
      </c>
      <c r="L1222" s="43"/>
      <c r="M1222" s="21"/>
      <c r="N1222" s="21"/>
      <c r="O1222" s="21"/>
      <c r="P1222" s="21"/>
      <c r="Q1222" s="21"/>
      <c r="R1222" s="21"/>
      <c r="S1222" s="21"/>
      <c r="T1222" s="21"/>
      <c r="U1222" s="21"/>
      <c r="V1222" s="21"/>
    </row>
    <row r="1223" spans="1:22" s="2" customFormat="1" ht="30" customHeight="1" x14ac:dyDescent="0.25">
      <c r="A1223" s="661">
        <f>A1216+1</f>
        <v>353</v>
      </c>
      <c r="B1223" s="382" t="s">
        <v>41</v>
      </c>
      <c r="C1223" s="830" t="s">
        <v>2299</v>
      </c>
      <c r="D1223" s="100">
        <f t="shared" si="88"/>
        <v>1599</v>
      </c>
      <c r="E1223" s="427" t="s">
        <v>171</v>
      </c>
      <c r="F1223" s="699" t="s">
        <v>285</v>
      </c>
      <c r="G1223" s="924"/>
      <c r="H1223" s="925"/>
      <c r="I1223" s="922"/>
      <c r="J1223" s="198" t="str">
        <f>IF(LEN(F1223)&gt;0,"","Belum Terisi")</f>
        <v/>
      </c>
      <c r="K1223" s="31"/>
      <c r="L1223" s="31"/>
      <c r="M1223" s="21"/>
      <c r="N1223" s="847" t="s">
        <v>668</v>
      </c>
      <c r="O1223" s="21"/>
      <c r="P1223" s="21"/>
      <c r="Q1223" s="21"/>
      <c r="R1223" s="21"/>
      <c r="S1223" s="21"/>
      <c r="T1223" s="21"/>
      <c r="U1223" s="21"/>
      <c r="V1223" s="21"/>
    </row>
    <row r="1224" spans="1:22" s="2" customFormat="1" ht="30" customHeight="1" x14ac:dyDescent="0.25">
      <c r="A1224" s="663"/>
      <c r="B1224" s="382" t="s">
        <v>139</v>
      </c>
      <c r="C1224" s="383" t="s">
        <v>2306</v>
      </c>
      <c r="D1224" s="100">
        <f t="shared" si="88"/>
        <v>1600</v>
      </c>
      <c r="E1224" s="427" t="s">
        <v>171</v>
      </c>
      <c r="F1224" s="693" t="s">
        <v>285</v>
      </c>
      <c r="G1224" s="924"/>
      <c r="H1224" s="925"/>
      <c r="I1224" s="922"/>
      <c r="J1224" s="198" t="str">
        <f>IF(F1224="","Belum Terisi",IF(AND($F$1223="Tidak Ada",F1224="Ada"),"CEK",IF(AND($F$1223="Ada",COUNTIF($F$1224:$F$1226,"Tidak Ada")=3),"CEK","")))</f>
        <v/>
      </c>
      <c r="K1224" s="31" t="str">
        <f>IF(J1224="CEK",$F$1223&amp;" Bumdesa Usaha)","")</f>
        <v/>
      </c>
      <c r="L1224" s="43"/>
      <c r="M1224" s="21"/>
      <c r="N1224" s="21"/>
      <c r="O1224" s="21"/>
      <c r="P1224" s="21"/>
      <c r="Q1224" s="21"/>
      <c r="R1224" s="21"/>
      <c r="S1224" s="21"/>
      <c r="T1224" s="21"/>
      <c r="U1224" s="21"/>
      <c r="V1224" s="21"/>
    </row>
    <row r="1225" spans="1:22" s="2" customFormat="1" ht="30" customHeight="1" x14ac:dyDescent="0.25">
      <c r="A1225" s="663"/>
      <c r="B1225" s="382" t="s">
        <v>251</v>
      </c>
      <c r="C1225" s="383" t="s">
        <v>2313</v>
      </c>
      <c r="D1225" s="100">
        <f t="shared" si="88"/>
        <v>1601</v>
      </c>
      <c r="E1225" s="427" t="s">
        <v>171</v>
      </c>
      <c r="F1225" s="694" t="s">
        <v>285</v>
      </c>
      <c r="G1225" s="924"/>
      <c r="H1225" s="925"/>
      <c r="I1225" s="922"/>
      <c r="J1225" s="198" t="str">
        <f>IF(F1225="","Belum Terisi",IF(AND($F$1223="Tidak Ada",F1225="Ada"),"CEK",IF(AND($F$1223="Ada",COUNTIF($F$1224:$F$1226,"Tidak Ada")=3),"CEK","")))</f>
        <v/>
      </c>
      <c r="K1225" s="31" t="str">
        <f>IF(J1225="CEK",$F$1223&amp;" Bumdesa Usaha)","")</f>
        <v/>
      </c>
      <c r="L1225" s="43"/>
      <c r="M1225" s="21"/>
      <c r="N1225" s="21"/>
      <c r="O1225" s="21"/>
      <c r="P1225" s="21"/>
      <c r="Q1225" s="21"/>
      <c r="R1225" s="21"/>
      <c r="S1225" s="21"/>
      <c r="T1225" s="21"/>
      <c r="U1225" s="21"/>
      <c r="V1225" s="21"/>
    </row>
    <row r="1226" spans="1:22" s="2" customFormat="1" ht="30" customHeight="1" x14ac:dyDescent="0.25">
      <c r="A1226" s="662"/>
      <c r="B1226" s="382" t="s">
        <v>255</v>
      </c>
      <c r="C1226" s="383" t="s">
        <v>2320</v>
      </c>
      <c r="D1226" s="100">
        <f t="shared" si="88"/>
        <v>1602</v>
      </c>
      <c r="E1226" s="427" t="s">
        <v>171</v>
      </c>
      <c r="F1226" s="697" t="s">
        <v>263</v>
      </c>
      <c r="G1226" s="924"/>
      <c r="H1226" s="925"/>
      <c r="I1226" s="922"/>
      <c r="J1226" s="198" t="str">
        <f>IF(F1226="","Belum Terisi",IF(AND($F$1223="Tidak Ada",F1226="Ada"),"CEK",IF(AND($F$1223="Ada",COUNTIF($F$1224:$F$1226,"Tidak Ada")=3),"CEK","")))</f>
        <v/>
      </c>
      <c r="K1226" s="31" t="str">
        <f>IF(J1226="CEK",$F$1223&amp;" Bumdesa Usaha)","")</f>
        <v/>
      </c>
      <c r="L1226" s="43"/>
      <c r="M1226" s="21"/>
      <c r="N1226" s="21"/>
      <c r="O1226" s="21"/>
      <c r="P1226" s="21"/>
      <c r="Q1226" s="21"/>
      <c r="R1226" s="21"/>
      <c r="S1226" s="21"/>
      <c r="T1226" s="21"/>
      <c r="U1226" s="21"/>
      <c r="V1226" s="21"/>
    </row>
    <row r="1227" spans="1:22" s="2" customFormat="1" ht="30" customHeight="1" x14ac:dyDescent="0.25">
      <c r="A1227" s="661">
        <f>A1223+1</f>
        <v>354</v>
      </c>
      <c r="B1227" s="382" t="s">
        <v>41</v>
      </c>
      <c r="C1227" s="830" t="s">
        <v>2300</v>
      </c>
      <c r="D1227" s="100">
        <f t="shared" si="88"/>
        <v>1603</v>
      </c>
      <c r="E1227" s="427" t="s">
        <v>171</v>
      </c>
      <c r="F1227" s="699" t="s">
        <v>285</v>
      </c>
      <c r="G1227" s="924"/>
      <c r="H1227" s="925"/>
      <c r="I1227" s="922"/>
      <c r="J1227" s="198" t="str">
        <f>IF(LEN(F1227)&gt;0,"","Belum Terisi")</f>
        <v/>
      </c>
      <c r="K1227" s="31"/>
      <c r="L1227" s="31"/>
      <c r="M1227" s="21"/>
      <c r="N1227" s="847" t="s">
        <v>668</v>
      </c>
      <c r="O1227" s="21"/>
      <c r="P1227" s="21"/>
      <c r="Q1227" s="21"/>
      <c r="R1227" s="21"/>
      <c r="S1227" s="21"/>
      <c r="T1227" s="21"/>
      <c r="U1227" s="21"/>
      <c r="V1227" s="21"/>
    </row>
    <row r="1228" spans="1:22" s="2" customFormat="1" ht="30" customHeight="1" x14ac:dyDescent="0.25">
      <c r="A1228" s="663"/>
      <c r="B1228" s="382" t="s">
        <v>139</v>
      </c>
      <c r="C1228" s="383" t="s">
        <v>2307</v>
      </c>
      <c r="D1228" s="100">
        <f t="shared" si="88"/>
        <v>1604</v>
      </c>
      <c r="E1228" s="427" t="s">
        <v>171</v>
      </c>
      <c r="F1228" s="693" t="s">
        <v>285</v>
      </c>
      <c r="G1228" s="924"/>
      <c r="H1228" s="925"/>
      <c r="I1228" s="922"/>
      <c r="J1228" s="198" t="str">
        <f>IF(F1228="","Belum Terisi",IF(AND($F$1227="Tidak Ada",F1228="Ada"),"CEK",IF(AND($F$1227="Ada",COUNTIF($F$1228:$F$1231,"Tidak Ada")=4),"CEK","")))</f>
        <v/>
      </c>
      <c r="K1228" s="31" t="str">
        <f>IF(J1228="CEK",$F$1227&amp;" Bumdesa Pariwisata","")</f>
        <v/>
      </c>
      <c r="L1228" s="43"/>
      <c r="M1228" s="21"/>
      <c r="N1228" s="21"/>
      <c r="O1228" s="21"/>
      <c r="P1228" s="21"/>
      <c r="Q1228" s="21"/>
      <c r="R1228" s="21"/>
      <c r="S1228" s="21"/>
      <c r="T1228" s="21"/>
      <c r="U1228" s="21"/>
      <c r="V1228" s="21"/>
    </row>
    <row r="1229" spans="1:22" s="2" customFormat="1" ht="30" customHeight="1" x14ac:dyDescent="0.25">
      <c r="A1229" s="663"/>
      <c r="B1229" s="382" t="s">
        <v>251</v>
      </c>
      <c r="C1229" s="383" t="s">
        <v>2314</v>
      </c>
      <c r="D1229" s="100">
        <f t="shared" si="88"/>
        <v>1605</v>
      </c>
      <c r="E1229" s="427" t="s">
        <v>171</v>
      </c>
      <c r="F1229" s="694" t="s">
        <v>263</v>
      </c>
      <c r="G1229" s="924"/>
      <c r="H1229" s="922"/>
      <c r="I1229" s="922"/>
      <c r="J1229" s="198" t="str">
        <f>IF(F1229="","Belum Terisi",IF(AND($F$1227="Tidak Ada",F1229="Ada"),"CEK",IF(AND($F$1227="Ada",COUNTIF($F$1228:$F$1231,"Tidak Ada")=4),"CEK","")))</f>
        <v/>
      </c>
      <c r="K1229" s="31" t="str">
        <f>IF(J1229="CEK",$F$1227&amp;" Bumdesa Pariwisata","")</f>
        <v/>
      </c>
      <c r="L1229" s="43"/>
      <c r="M1229" s="21"/>
      <c r="N1229" s="21"/>
      <c r="O1229" s="21"/>
      <c r="P1229" s="21"/>
      <c r="Q1229" s="21"/>
      <c r="R1229" s="21"/>
      <c r="S1229" s="21"/>
      <c r="T1229" s="21"/>
      <c r="U1229" s="21"/>
      <c r="V1229" s="21"/>
    </row>
    <row r="1230" spans="1:22" s="2" customFormat="1" ht="30" customHeight="1" x14ac:dyDescent="0.25">
      <c r="A1230" s="663"/>
      <c r="B1230" s="382" t="s">
        <v>255</v>
      </c>
      <c r="C1230" s="383" t="s">
        <v>2321</v>
      </c>
      <c r="D1230" s="100">
        <f t="shared" si="88"/>
        <v>1606</v>
      </c>
      <c r="E1230" s="427" t="s">
        <v>171</v>
      </c>
      <c r="F1230" s="694" t="s">
        <v>285</v>
      </c>
      <c r="G1230" s="924"/>
      <c r="H1230" s="922"/>
      <c r="I1230" s="922"/>
      <c r="J1230" s="198" t="str">
        <f>IF(F1230="","Belum Terisi",IF(AND($F$1227="Tidak Ada",F1230="Ada"),"CEK",IF(AND($F$1227="Ada",COUNTIF($F$1228:$F$1231,"Tidak Ada")=4),"CEK","")))</f>
        <v/>
      </c>
      <c r="K1230" s="31" t="str">
        <f>IF(J1230="CEK",$F$1227&amp;" Bumdesa Pariwisata","")</f>
        <v/>
      </c>
      <c r="L1230" s="43"/>
      <c r="M1230" s="21"/>
      <c r="N1230" s="21"/>
      <c r="O1230" s="21"/>
      <c r="P1230" s="21"/>
      <c r="Q1230" s="21"/>
      <c r="R1230" s="21"/>
      <c r="S1230" s="21"/>
      <c r="T1230" s="21"/>
      <c r="U1230" s="21"/>
      <c r="V1230" s="21"/>
    </row>
    <row r="1231" spans="1:22" s="2" customFormat="1" ht="30" customHeight="1" x14ac:dyDescent="0.25">
      <c r="A1231" s="662"/>
      <c r="B1231" s="382" t="s">
        <v>252</v>
      </c>
      <c r="C1231" s="383" t="s">
        <v>2327</v>
      </c>
      <c r="D1231" s="100">
        <f t="shared" si="88"/>
        <v>1607</v>
      </c>
      <c r="E1231" s="427" t="s">
        <v>171</v>
      </c>
      <c r="F1231" s="697" t="s">
        <v>263</v>
      </c>
      <c r="G1231" s="924"/>
      <c r="H1231" s="922"/>
      <c r="I1231" s="922"/>
      <c r="J1231" s="198" t="str">
        <f>IF(F1231="","Belum Terisi",IF(AND($F$1227="Tidak Ada",F1231="Ada"),"CEK",IF(AND($F$1227="Ada",COUNTIF($F$1228:$F$1231,"Tidak Ada")=4),"CEK","")))</f>
        <v/>
      </c>
      <c r="K1231" s="31" t="str">
        <f>IF(J1231="CEK",$F$1227&amp;" Bumdesa Pariwisata","")</f>
        <v/>
      </c>
      <c r="L1231" s="31"/>
      <c r="M1231" s="21"/>
      <c r="N1231" s="847" t="s">
        <v>668</v>
      </c>
      <c r="O1231" s="21"/>
      <c r="P1231" s="21"/>
      <c r="Q1231" s="21"/>
      <c r="R1231" s="21"/>
      <c r="S1231" s="21"/>
      <c r="T1231" s="21"/>
      <c r="U1231" s="21"/>
      <c r="V1231" s="21"/>
    </row>
    <row r="1232" spans="1:22" s="2" customFormat="1" ht="30" customHeight="1" x14ac:dyDescent="0.25">
      <c r="A1232" s="661">
        <f>A1227+1</f>
        <v>355</v>
      </c>
      <c r="B1232" s="382" t="s">
        <v>41</v>
      </c>
      <c r="C1232" s="383" t="s">
        <v>2337</v>
      </c>
      <c r="D1232" s="100">
        <f t="shared" si="88"/>
        <v>1608</v>
      </c>
      <c r="E1232" s="427" t="s">
        <v>81</v>
      </c>
      <c r="F1232" s="902">
        <v>10000000</v>
      </c>
      <c r="G1232" s="924"/>
      <c r="H1232" s="922"/>
      <c r="I1232" s="923"/>
      <c r="J1232" s="198" t="str">
        <f t="shared" ref="J1232:J1247" si="93">IF(LEN(F1232)&gt;0,"","Belum Terisi")</f>
        <v/>
      </c>
      <c r="K1232" s="31"/>
      <c r="L1232" s="43"/>
      <c r="M1232" s="21"/>
      <c r="N1232" s="847" t="s">
        <v>668</v>
      </c>
      <c r="O1232" s="21"/>
      <c r="P1232" s="21"/>
      <c r="Q1232" s="21"/>
      <c r="R1232" s="21"/>
      <c r="S1232" s="21"/>
      <c r="T1232" s="21"/>
      <c r="U1232" s="21"/>
      <c r="V1232" s="21"/>
    </row>
    <row r="1233" spans="1:22" s="2" customFormat="1" ht="30" customHeight="1" x14ac:dyDescent="0.25">
      <c r="A1233" s="662"/>
      <c r="B1233" s="382" t="s">
        <v>139</v>
      </c>
      <c r="C1233" s="383" t="s">
        <v>2338</v>
      </c>
      <c r="D1233" s="100">
        <f t="shared" si="88"/>
        <v>1609</v>
      </c>
      <c r="E1233" s="427" t="s">
        <v>81</v>
      </c>
      <c r="F1233" s="902">
        <v>0</v>
      </c>
      <c r="G1233" s="924"/>
      <c r="H1233" s="922"/>
      <c r="I1233" s="923"/>
      <c r="J1233" s="198" t="str">
        <f t="shared" si="93"/>
        <v/>
      </c>
      <c r="K1233" s="31"/>
      <c r="L1233" s="43"/>
      <c r="M1233" s="21"/>
      <c r="N1233" s="847" t="s">
        <v>668</v>
      </c>
      <c r="O1233" s="21"/>
      <c r="P1233" s="21"/>
      <c r="Q1233" s="21"/>
      <c r="R1233" s="21"/>
      <c r="S1233" s="21"/>
      <c r="T1233" s="21"/>
      <c r="U1233" s="21"/>
      <c r="V1233" s="21"/>
    </row>
    <row r="1234" spans="1:22" s="2" customFormat="1" ht="30" customHeight="1" x14ac:dyDescent="0.25">
      <c r="A1234" s="665">
        <f>A1232+1</f>
        <v>356</v>
      </c>
      <c r="B1234" s="384"/>
      <c r="C1234" s="383" t="s">
        <v>228</v>
      </c>
      <c r="D1234" s="100">
        <f t="shared" si="88"/>
        <v>1610</v>
      </c>
      <c r="E1234" s="30" t="s">
        <v>250</v>
      </c>
      <c r="F1234" s="779">
        <f>SUM(IF(F1189="ada",1,0),
IF(F1194="ada",1,0),
IF(F1199="ada",1,0),
IF(F1207="ada",1,0),
IF(F1216="ada",1,0),
IF(F1223="ada",1,0),
IF(F1227="ada",1,0))</f>
        <v>7</v>
      </c>
      <c r="G1234" s="924"/>
      <c r="H1234" s="922"/>
      <c r="I1234" s="923"/>
      <c r="J1234" s="198" t="str">
        <f t="shared" si="93"/>
        <v/>
      </c>
      <c r="K1234" s="31"/>
      <c r="L1234" s="43"/>
      <c r="M1234" s="21"/>
      <c r="N1234" s="21"/>
      <c r="O1234" s="21"/>
      <c r="P1234" s="21"/>
      <c r="Q1234" s="21"/>
      <c r="R1234" s="21"/>
      <c r="S1234" s="21"/>
      <c r="T1234" s="21"/>
      <c r="U1234" s="21"/>
      <c r="V1234" s="21"/>
    </row>
    <row r="1235" spans="1:22" s="2" customFormat="1" ht="30" customHeight="1" x14ac:dyDescent="0.25">
      <c r="A1235" s="661">
        <f>A1234+1</f>
        <v>357</v>
      </c>
      <c r="B1235" s="382" t="s">
        <v>41</v>
      </c>
      <c r="C1235" s="383" t="s">
        <v>2571</v>
      </c>
      <c r="D1235" s="100">
        <f t="shared" si="88"/>
        <v>1611</v>
      </c>
      <c r="E1235" s="427" t="s">
        <v>174</v>
      </c>
      <c r="F1235" s="698" t="s">
        <v>2833</v>
      </c>
      <c r="G1235" s="924"/>
      <c r="H1235" s="922"/>
      <c r="I1235" s="923"/>
      <c r="J1235" s="198" t="str">
        <f t="shared" si="93"/>
        <v/>
      </c>
      <c r="K1235" s="31"/>
      <c r="L1235" s="31"/>
      <c r="M1235" s="21"/>
      <c r="N1235" s="847" t="s">
        <v>668</v>
      </c>
      <c r="O1235" s="21"/>
      <c r="P1235" s="21"/>
      <c r="Q1235" s="21"/>
      <c r="R1235" s="21"/>
      <c r="S1235" s="21"/>
      <c r="T1235" s="21"/>
      <c r="U1235" s="21"/>
      <c r="V1235" s="21"/>
    </row>
    <row r="1236" spans="1:22" s="2" customFormat="1" ht="30" customHeight="1" x14ac:dyDescent="0.25">
      <c r="A1236" s="663"/>
      <c r="B1236" s="382" t="s">
        <v>139</v>
      </c>
      <c r="C1236" s="383" t="s">
        <v>2572</v>
      </c>
      <c r="D1236" s="100">
        <f t="shared" si="88"/>
        <v>1612</v>
      </c>
      <c r="E1236" s="427" t="s">
        <v>96</v>
      </c>
      <c r="F1236" s="699">
        <v>2020</v>
      </c>
      <c r="G1236" s="924"/>
      <c r="H1236" s="922" t="s">
        <v>574</v>
      </c>
      <c r="I1236" s="923"/>
      <c r="J1236" s="198" t="str">
        <f t="shared" si="93"/>
        <v/>
      </c>
      <c r="K1236" s="31"/>
      <c r="L1236" s="43"/>
      <c r="M1236" s="21"/>
      <c r="N1236" s="21"/>
      <c r="O1236" s="21"/>
      <c r="P1236" s="21"/>
      <c r="Q1236" s="21"/>
      <c r="R1236" s="21"/>
      <c r="S1236" s="21"/>
      <c r="T1236" s="21"/>
      <c r="U1236" s="21"/>
      <c r="V1236" s="21"/>
    </row>
    <row r="1237" spans="1:22" s="2" customFormat="1" ht="30" customHeight="1" x14ac:dyDescent="0.25">
      <c r="A1237" s="663"/>
      <c r="B1237" s="382" t="s">
        <v>251</v>
      </c>
      <c r="C1237" s="383" t="s">
        <v>2573</v>
      </c>
      <c r="D1237" s="100">
        <f t="shared" si="88"/>
        <v>1613</v>
      </c>
      <c r="E1237" s="427" t="s">
        <v>33</v>
      </c>
      <c r="F1237" s="730">
        <v>7</v>
      </c>
      <c r="G1237" s="924"/>
      <c r="H1237" s="922" t="s">
        <v>159</v>
      </c>
      <c r="I1237" s="923"/>
      <c r="J1237" s="198" t="str">
        <f t="shared" si="93"/>
        <v/>
      </c>
      <c r="K1237" s="31"/>
      <c r="L1237" s="43"/>
      <c r="M1237" s="21"/>
      <c r="N1237" s="21"/>
      <c r="O1237" s="21"/>
      <c r="P1237" s="21"/>
      <c r="Q1237" s="21"/>
      <c r="R1237" s="21"/>
      <c r="S1237" s="21"/>
      <c r="T1237" s="21"/>
      <c r="U1237" s="21"/>
      <c r="V1237" s="21"/>
    </row>
    <row r="1238" spans="1:22" s="2" customFormat="1" ht="30" customHeight="1" x14ac:dyDescent="0.25">
      <c r="A1238" s="663"/>
      <c r="B1238" s="382" t="s">
        <v>255</v>
      </c>
      <c r="C1238" s="383" t="s">
        <v>2574</v>
      </c>
      <c r="D1238" s="100">
        <f t="shared" si="88"/>
        <v>1614</v>
      </c>
      <c r="E1238" s="427" t="s">
        <v>174</v>
      </c>
      <c r="F1238" s="698" t="s">
        <v>2835</v>
      </c>
      <c r="G1238" s="924"/>
      <c r="H1238" s="922"/>
      <c r="I1238" s="923"/>
      <c r="J1238" s="198" t="str">
        <f t="shared" si="93"/>
        <v/>
      </c>
      <c r="K1238" s="31"/>
      <c r="L1238" s="43"/>
      <c r="M1238" s="21"/>
      <c r="N1238" s="21"/>
      <c r="O1238" s="21"/>
      <c r="P1238" s="21"/>
      <c r="Q1238" s="21"/>
      <c r="R1238" s="21"/>
      <c r="S1238" s="21"/>
      <c r="T1238" s="21"/>
      <c r="U1238" s="21"/>
      <c r="V1238" s="21"/>
    </row>
    <row r="1239" spans="1:22" s="2" customFormat="1" ht="30" customHeight="1" x14ac:dyDescent="0.25">
      <c r="A1239" s="663"/>
      <c r="B1239" s="382" t="s">
        <v>252</v>
      </c>
      <c r="C1239" s="383" t="s">
        <v>2575</v>
      </c>
      <c r="D1239" s="100">
        <f t="shared" si="88"/>
        <v>1615</v>
      </c>
      <c r="E1239" s="427" t="s">
        <v>174</v>
      </c>
      <c r="F1239" s="698" t="s">
        <v>2834</v>
      </c>
      <c r="G1239" s="924"/>
      <c r="H1239" s="922"/>
      <c r="I1239" s="923"/>
      <c r="J1239" s="198" t="str">
        <f t="shared" si="93"/>
        <v/>
      </c>
      <c r="K1239" s="31"/>
      <c r="L1239" s="31"/>
      <c r="M1239" s="21"/>
      <c r="N1239" s="21"/>
      <c r="O1239" s="21"/>
      <c r="P1239" s="21"/>
      <c r="Q1239" s="21"/>
      <c r="R1239" s="21"/>
      <c r="S1239" s="21"/>
      <c r="T1239" s="21"/>
      <c r="U1239" s="21"/>
      <c r="V1239" s="21"/>
    </row>
    <row r="1240" spans="1:22" s="2" customFormat="1" ht="30" customHeight="1" x14ac:dyDescent="0.25">
      <c r="A1240" s="663"/>
      <c r="B1240" s="382" t="s">
        <v>253</v>
      </c>
      <c r="C1240" s="383" t="s">
        <v>2576</v>
      </c>
      <c r="D1240" s="100">
        <f t="shared" si="88"/>
        <v>1616</v>
      </c>
      <c r="E1240" s="427" t="s">
        <v>174</v>
      </c>
      <c r="F1240" s="699" t="s">
        <v>2836</v>
      </c>
      <c r="G1240" s="924"/>
      <c r="H1240" s="922"/>
      <c r="I1240" s="923"/>
      <c r="J1240" s="198" t="str">
        <f t="shared" si="93"/>
        <v/>
      </c>
      <c r="K1240" s="31"/>
      <c r="L1240" s="43"/>
      <c r="M1240" s="21"/>
      <c r="N1240" s="21"/>
      <c r="O1240" s="21"/>
      <c r="P1240" s="21"/>
      <c r="Q1240" s="21"/>
      <c r="R1240" s="21"/>
      <c r="S1240" s="21"/>
      <c r="T1240" s="21"/>
      <c r="U1240" s="21"/>
      <c r="V1240" s="21"/>
    </row>
    <row r="1241" spans="1:22" s="2" customFormat="1" ht="30" customHeight="1" x14ac:dyDescent="0.25">
      <c r="A1241" s="663"/>
      <c r="B1241" s="382" t="s">
        <v>254</v>
      </c>
      <c r="C1241" s="383" t="s">
        <v>2577</v>
      </c>
      <c r="D1241" s="100">
        <f t="shared" si="88"/>
        <v>1617</v>
      </c>
      <c r="E1241" s="427" t="s">
        <v>174</v>
      </c>
      <c r="F1241" s="699" t="s">
        <v>2837</v>
      </c>
      <c r="G1241" s="924"/>
      <c r="H1241" s="922"/>
      <c r="I1241" s="923"/>
      <c r="J1241" s="198" t="str">
        <f t="shared" si="93"/>
        <v/>
      </c>
      <c r="K1241" s="31"/>
      <c r="L1241" s="43"/>
      <c r="M1241" s="21"/>
      <c r="N1241" s="21"/>
      <c r="O1241" s="21"/>
      <c r="P1241" s="21"/>
      <c r="Q1241" s="21"/>
      <c r="R1241" s="21"/>
      <c r="S1241" s="21"/>
      <c r="T1241" s="21"/>
      <c r="U1241" s="21"/>
      <c r="V1241" s="21"/>
    </row>
    <row r="1242" spans="1:22" s="2" customFormat="1" ht="30" customHeight="1" x14ac:dyDescent="0.25">
      <c r="A1242" s="663"/>
      <c r="B1242" s="382" t="s">
        <v>256</v>
      </c>
      <c r="C1242" s="383" t="s">
        <v>2578</v>
      </c>
      <c r="D1242" s="100">
        <f t="shared" si="88"/>
        <v>1618</v>
      </c>
      <c r="E1242" s="427" t="s">
        <v>33</v>
      </c>
      <c r="F1242" s="730">
        <v>9</v>
      </c>
      <c r="G1242" s="924"/>
      <c r="H1242" s="922" t="s">
        <v>159</v>
      </c>
      <c r="I1242" s="923"/>
      <c r="J1242" s="198" t="str">
        <f t="shared" si="93"/>
        <v/>
      </c>
      <c r="K1242" s="31"/>
      <c r="L1242" s="43"/>
      <c r="M1242" s="21"/>
      <c r="N1242" s="21"/>
      <c r="O1242" s="21"/>
      <c r="P1242" s="21"/>
      <c r="Q1242" s="21"/>
      <c r="R1242" s="21"/>
      <c r="S1242" s="21"/>
      <c r="T1242" s="21"/>
      <c r="U1242" s="21"/>
      <c r="V1242" s="21"/>
    </row>
    <row r="1243" spans="1:22" s="2" customFormat="1" ht="30" customHeight="1" x14ac:dyDescent="0.25">
      <c r="A1243" s="663"/>
      <c r="B1243" s="382" t="s">
        <v>257</v>
      </c>
      <c r="C1243" s="383" t="s">
        <v>2579</v>
      </c>
      <c r="D1243" s="100">
        <f t="shared" si="88"/>
        <v>1619</v>
      </c>
      <c r="E1243" s="427" t="s">
        <v>174</v>
      </c>
      <c r="F1243" s="699" t="s">
        <v>2838</v>
      </c>
      <c r="G1243" s="924"/>
      <c r="H1243" s="922"/>
      <c r="I1243" s="923"/>
      <c r="J1243" s="198" t="str">
        <f t="shared" si="93"/>
        <v/>
      </c>
      <c r="K1243" s="31"/>
      <c r="L1243" s="31"/>
      <c r="M1243" s="21"/>
      <c r="N1243" s="21"/>
      <c r="O1243" s="21"/>
      <c r="P1243" s="21"/>
      <c r="Q1243" s="21"/>
      <c r="R1243" s="21"/>
      <c r="S1243" s="21"/>
      <c r="T1243" s="21"/>
      <c r="U1243" s="21"/>
      <c r="V1243" s="21"/>
    </row>
    <row r="1244" spans="1:22" s="2" customFormat="1" ht="30" customHeight="1" x14ac:dyDescent="0.25">
      <c r="A1244" s="662"/>
      <c r="B1244" s="382" t="s">
        <v>259</v>
      </c>
      <c r="C1244" s="383" t="s">
        <v>2580</v>
      </c>
      <c r="D1244" s="100">
        <f t="shared" si="88"/>
        <v>1620</v>
      </c>
      <c r="E1244" s="427" t="s">
        <v>174</v>
      </c>
      <c r="F1244" s="699" t="s">
        <v>2840</v>
      </c>
      <c r="G1244" s="924"/>
      <c r="H1244" s="922"/>
      <c r="I1244" s="923"/>
      <c r="J1244" s="198" t="str">
        <f t="shared" si="93"/>
        <v/>
      </c>
      <c r="K1244" s="31"/>
      <c r="L1244" s="43"/>
      <c r="M1244" s="21"/>
      <c r="N1244" s="21"/>
      <c r="O1244" s="21"/>
      <c r="P1244" s="21"/>
      <c r="Q1244" s="21"/>
      <c r="R1244" s="21"/>
      <c r="S1244" s="21"/>
      <c r="T1244" s="21"/>
      <c r="U1244" s="21"/>
      <c r="V1244" s="21"/>
    </row>
    <row r="1245" spans="1:22" s="2" customFormat="1" ht="30" customHeight="1" x14ac:dyDescent="0.25">
      <c r="A1245" s="661">
        <f>A1235+1</f>
        <v>358</v>
      </c>
      <c r="B1245" s="382" t="s">
        <v>41</v>
      </c>
      <c r="C1245" s="383" t="s">
        <v>164</v>
      </c>
      <c r="D1245" s="100">
        <f t="shared" si="88"/>
        <v>1621</v>
      </c>
      <c r="E1245" s="28" t="s">
        <v>2617</v>
      </c>
      <c r="F1245" s="687"/>
      <c r="G1245" s="924"/>
      <c r="H1245" s="922" t="s">
        <v>542</v>
      </c>
      <c r="I1245" s="923" t="s">
        <v>263</v>
      </c>
      <c r="J1245" s="198" t="str">
        <f t="shared" si="93"/>
        <v>Belum Terisi</v>
      </c>
      <c r="K1245" s="31"/>
      <c r="L1245" s="43"/>
      <c r="M1245" s="21"/>
      <c r="N1245" s="21"/>
      <c r="O1245" s="21"/>
      <c r="P1245" s="21"/>
      <c r="Q1245" s="21"/>
      <c r="R1245" s="21"/>
      <c r="S1245" s="21"/>
      <c r="T1245" s="21"/>
      <c r="U1245" s="21"/>
      <c r="V1245" s="21"/>
    </row>
    <row r="1246" spans="1:22" s="2" customFormat="1" ht="30" customHeight="1" x14ac:dyDescent="0.25">
      <c r="A1246" s="662"/>
      <c r="B1246" s="382" t="s">
        <v>139</v>
      </c>
      <c r="C1246" s="383" t="s">
        <v>165</v>
      </c>
      <c r="D1246" s="100">
        <f t="shared" si="88"/>
        <v>1622</v>
      </c>
      <c r="E1246" s="28" t="s">
        <v>2617</v>
      </c>
      <c r="F1246" s="831"/>
      <c r="G1246" s="924"/>
      <c r="H1246" s="922" t="s">
        <v>542</v>
      </c>
      <c r="I1246" s="923" t="s">
        <v>872</v>
      </c>
      <c r="J1246" s="198" t="str">
        <f t="shared" si="93"/>
        <v>Belum Terisi</v>
      </c>
      <c r="K1246" s="31"/>
      <c r="L1246" s="43"/>
      <c r="M1246" s="21"/>
      <c r="N1246" s="21"/>
      <c r="O1246" s="21"/>
      <c r="P1246" s="21"/>
      <c r="Q1246" s="21"/>
      <c r="R1246" s="21"/>
      <c r="S1246" s="21"/>
      <c r="T1246" s="21"/>
      <c r="U1246" s="21"/>
      <c r="V1246" s="21"/>
    </row>
    <row r="1247" spans="1:22" s="2" customFormat="1" ht="30" customHeight="1" x14ac:dyDescent="0.25">
      <c r="A1247" s="665">
        <f>A1245+1</f>
        <v>359</v>
      </c>
      <c r="B1247" s="384"/>
      <c r="C1247" s="383" t="s">
        <v>2339</v>
      </c>
      <c r="D1247" s="100">
        <f t="shared" si="88"/>
        <v>1623</v>
      </c>
      <c r="E1247" s="435" t="s">
        <v>171</v>
      </c>
      <c r="F1247" s="785" t="s">
        <v>263</v>
      </c>
      <c r="G1247" s="924"/>
      <c r="H1247" s="922"/>
      <c r="I1247" s="923" t="s">
        <v>871</v>
      </c>
      <c r="J1247" s="198" t="str">
        <f t="shared" si="93"/>
        <v/>
      </c>
      <c r="K1247" s="31"/>
      <c r="L1247" s="43"/>
      <c r="M1247" s="21"/>
      <c r="N1247" s="21"/>
      <c r="O1247" s="21"/>
      <c r="P1247" s="21"/>
      <c r="Q1247" s="21"/>
      <c r="R1247" s="21"/>
      <c r="S1247" s="21"/>
      <c r="T1247" s="21"/>
      <c r="U1247" s="21"/>
      <c r="V1247" s="21"/>
    </row>
    <row r="1248" spans="1:22" s="2" customFormat="1" ht="30" customHeight="1" x14ac:dyDescent="0.25">
      <c r="A1248" s="613" t="s">
        <v>214</v>
      </c>
      <c r="B1248" s="298"/>
      <c r="C1248" s="298"/>
      <c r="D1248" s="429"/>
      <c r="E1248" s="429"/>
      <c r="F1248" s="732"/>
      <c r="G1248" s="924"/>
      <c r="H1248" s="922"/>
      <c r="I1248" s="923"/>
      <c r="J1248" s="98"/>
      <c r="K1248" s="31"/>
      <c r="L1248" s="43"/>
      <c r="M1248" s="21"/>
      <c r="N1248" s="21"/>
      <c r="O1248" s="21"/>
      <c r="P1248" s="21"/>
      <c r="Q1248" s="21"/>
      <c r="R1248" s="21"/>
      <c r="S1248" s="21"/>
      <c r="T1248" s="21"/>
      <c r="U1248" s="21"/>
      <c r="V1248" s="21"/>
    </row>
    <row r="1249" spans="1:22" s="2" customFormat="1" ht="30" customHeight="1" x14ac:dyDescent="0.25">
      <c r="A1249" s="661">
        <f>A1247+1</f>
        <v>360</v>
      </c>
      <c r="B1249" s="382" t="s">
        <v>41</v>
      </c>
      <c r="C1249" s="383" t="s">
        <v>2341</v>
      </c>
      <c r="D1249" s="100">
        <f>D1247+1</f>
        <v>1624</v>
      </c>
      <c r="E1249" s="427" t="s">
        <v>62</v>
      </c>
      <c r="F1249" s="730">
        <v>0</v>
      </c>
      <c r="G1249" s="924"/>
      <c r="H1249" s="922" t="s">
        <v>213</v>
      </c>
      <c r="I1249" s="923"/>
      <c r="J1249" s="198" t="str">
        <f t="shared" ref="J1249:J1257" si="94">IF(LEN(F1249)&gt;0,"","Belum Terisi")</f>
        <v/>
      </c>
      <c r="K1249" s="31"/>
      <c r="L1249" s="43"/>
      <c r="M1249" s="21"/>
      <c r="N1249" s="847" t="s">
        <v>668</v>
      </c>
      <c r="O1249" s="21"/>
      <c r="P1249" s="21"/>
      <c r="Q1249" s="21"/>
      <c r="R1249" s="21"/>
      <c r="S1249" s="21"/>
      <c r="T1249" s="21"/>
      <c r="U1249" s="21"/>
      <c r="V1249" s="21"/>
    </row>
    <row r="1250" spans="1:22" s="2" customFormat="1" ht="30" customHeight="1" x14ac:dyDescent="0.25">
      <c r="A1250" s="663"/>
      <c r="B1250" s="382" t="s">
        <v>139</v>
      </c>
      <c r="C1250" s="383" t="s">
        <v>2342</v>
      </c>
      <c r="D1250" s="100">
        <f t="shared" ref="D1250:D1257" si="95">D1249+1</f>
        <v>1625</v>
      </c>
      <c r="E1250" s="427" t="s">
        <v>62</v>
      </c>
      <c r="F1250" s="730">
        <v>0</v>
      </c>
      <c r="G1250" s="924"/>
      <c r="H1250" s="922" t="s">
        <v>213</v>
      </c>
      <c r="I1250" s="923"/>
      <c r="J1250" s="198" t="str">
        <f t="shared" si="94"/>
        <v/>
      </c>
      <c r="K1250" s="31"/>
      <c r="L1250" s="43"/>
      <c r="M1250" s="21"/>
      <c r="N1250" s="21" t="s">
        <v>668</v>
      </c>
      <c r="O1250" s="21"/>
      <c r="P1250" s="21"/>
      <c r="Q1250" s="21"/>
      <c r="R1250" s="21"/>
      <c r="S1250" s="21"/>
      <c r="T1250" s="21"/>
      <c r="U1250" s="21"/>
      <c r="V1250" s="21"/>
    </row>
    <row r="1251" spans="1:22" s="2" customFormat="1" ht="30" customHeight="1" x14ac:dyDescent="0.25">
      <c r="A1251" s="663"/>
      <c r="B1251" s="382" t="s">
        <v>251</v>
      </c>
      <c r="C1251" s="383" t="s">
        <v>2343</v>
      </c>
      <c r="D1251" s="100">
        <f t="shared" si="95"/>
        <v>1626</v>
      </c>
      <c r="E1251" s="427" t="s">
        <v>62</v>
      </c>
      <c r="F1251" s="730">
        <v>0</v>
      </c>
      <c r="G1251" s="924"/>
      <c r="H1251" s="922" t="s">
        <v>213</v>
      </c>
      <c r="I1251" s="923"/>
      <c r="J1251" s="198" t="str">
        <f t="shared" si="94"/>
        <v/>
      </c>
      <c r="K1251" s="31"/>
      <c r="L1251" s="43"/>
      <c r="M1251" s="21"/>
      <c r="N1251" s="21" t="s">
        <v>668</v>
      </c>
      <c r="O1251" s="21"/>
      <c r="P1251" s="21"/>
      <c r="Q1251" s="21"/>
      <c r="R1251" s="21"/>
      <c r="S1251" s="21"/>
      <c r="T1251" s="21"/>
      <c r="U1251" s="21"/>
      <c r="V1251" s="21"/>
    </row>
    <row r="1252" spans="1:22" s="2" customFormat="1" ht="30" customHeight="1" x14ac:dyDescent="0.25">
      <c r="A1252" s="663"/>
      <c r="B1252" s="382" t="s">
        <v>255</v>
      </c>
      <c r="C1252" s="383" t="s">
        <v>2344</v>
      </c>
      <c r="D1252" s="100">
        <f t="shared" si="95"/>
        <v>1627</v>
      </c>
      <c r="E1252" s="427" t="s">
        <v>62</v>
      </c>
      <c r="F1252" s="730">
        <v>0</v>
      </c>
      <c r="G1252" s="924"/>
      <c r="H1252" s="922" t="s">
        <v>213</v>
      </c>
      <c r="I1252" s="923"/>
      <c r="J1252" s="198" t="str">
        <f t="shared" si="94"/>
        <v/>
      </c>
      <c r="K1252" s="31"/>
      <c r="L1252" s="31"/>
      <c r="M1252" s="21"/>
      <c r="N1252" s="21" t="s">
        <v>668</v>
      </c>
      <c r="O1252" s="21"/>
      <c r="P1252" s="21"/>
      <c r="Q1252" s="21"/>
      <c r="R1252" s="21"/>
      <c r="S1252" s="21"/>
      <c r="T1252" s="21"/>
      <c r="U1252" s="21"/>
      <c r="V1252" s="21"/>
    </row>
    <row r="1253" spans="1:22" s="2" customFormat="1" ht="30" customHeight="1" x14ac:dyDescent="0.25">
      <c r="A1253" s="663"/>
      <c r="B1253" s="382" t="s">
        <v>252</v>
      </c>
      <c r="C1253" s="383" t="s">
        <v>2345</v>
      </c>
      <c r="D1253" s="100">
        <f t="shared" si="95"/>
        <v>1628</v>
      </c>
      <c r="E1253" s="427" t="s">
        <v>62</v>
      </c>
      <c r="F1253" s="730">
        <v>0</v>
      </c>
      <c r="G1253" s="924"/>
      <c r="H1253" s="922" t="s">
        <v>213</v>
      </c>
      <c r="I1253" s="923"/>
      <c r="J1253" s="198" t="str">
        <f t="shared" si="94"/>
        <v/>
      </c>
      <c r="K1253" s="31"/>
      <c r="L1253" s="43"/>
      <c r="M1253" s="21"/>
      <c r="N1253" s="21" t="s">
        <v>668</v>
      </c>
      <c r="O1253" s="21"/>
      <c r="P1253" s="21"/>
      <c r="Q1253" s="21"/>
      <c r="R1253" s="21"/>
      <c r="S1253" s="21"/>
      <c r="T1253" s="21"/>
      <c r="U1253" s="21"/>
      <c r="V1253" s="21"/>
    </row>
    <row r="1254" spans="1:22" s="2" customFormat="1" ht="30" customHeight="1" x14ac:dyDescent="0.25">
      <c r="A1254" s="663"/>
      <c r="B1254" s="382" t="s">
        <v>253</v>
      </c>
      <c r="C1254" s="383" t="s">
        <v>2346</v>
      </c>
      <c r="D1254" s="100">
        <f t="shared" si="95"/>
        <v>1629</v>
      </c>
      <c r="E1254" s="427" t="s">
        <v>62</v>
      </c>
      <c r="F1254" s="730">
        <v>0</v>
      </c>
      <c r="G1254" s="924"/>
      <c r="H1254" s="922" t="s">
        <v>213</v>
      </c>
      <c r="I1254" s="923"/>
      <c r="J1254" s="198" t="str">
        <f t="shared" si="94"/>
        <v/>
      </c>
      <c r="K1254" s="31"/>
      <c r="L1254" s="43"/>
      <c r="M1254" s="21"/>
      <c r="N1254" s="21" t="s">
        <v>668</v>
      </c>
      <c r="O1254" s="21"/>
      <c r="P1254" s="21"/>
      <c r="Q1254" s="21"/>
      <c r="R1254" s="21"/>
      <c r="S1254" s="21"/>
      <c r="T1254" s="21"/>
      <c r="U1254" s="21"/>
      <c r="V1254" s="21"/>
    </row>
    <row r="1255" spans="1:22" s="2" customFormat="1" ht="30" customHeight="1" x14ac:dyDescent="0.25">
      <c r="A1255" s="663"/>
      <c r="B1255" s="382" t="s">
        <v>254</v>
      </c>
      <c r="C1255" s="383" t="s">
        <v>2347</v>
      </c>
      <c r="D1255" s="100">
        <f t="shared" si="95"/>
        <v>1630</v>
      </c>
      <c r="E1255" s="30" t="s">
        <v>250</v>
      </c>
      <c r="F1255" s="779">
        <f>SUM(F1249:F1254)</f>
        <v>0</v>
      </c>
      <c r="G1255" s="928"/>
      <c r="H1255" s="922"/>
      <c r="I1255" s="923"/>
      <c r="J1255" s="198" t="str">
        <f t="shared" si="94"/>
        <v/>
      </c>
      <c r="K1255" s="31"/>
      <c r="L1255" s="43"/>
      <c r="M1255" s="21"/>
      <c r="N1255" s="21" t="s">
        <v>668</v>
      </c>
      <c r="O1255" s="21"/>
      <c r="P1255" s="21"/>
      <c r="Q1255" s="21"/>
      <c r="R1255" s="21"/>
      <c r="S1255" s="21"/>
      <c r="T1255" s="21"/>
      <c r="U1255" s="21"/>
      <c r="V1255" s="21"/>
    </row>
    <row r="1256" spans="1:22" s="2" customFormat="1" ht="30" customHeight="1" x14ac:dyDescent="0.25">
      <c r="A1256" s="662"/>
      <c r="B1256" s="382" t="s">
        <v>256</v>
      </c>
      <c r="C1256" s="383" t="s">
        <v>2348</v>
      </c>
      <c r="D1256" s="100">
        <f t="shared" si="95"/>
        <v>1631</v>
      </c>
      <c r="E1256" s="427" t="s">
        <v>62</v>
      </c>
      <c r="F1256" s="730">
        <v>0</v>
      </c>
      <c r="G1256" s="924"/>
      <c r="H1256" s="922" t="s">
        <v>213</v>
      </c>
      <c r="I1256" s="923"/>
      <c r="J1256" s="198" t="str">
        <f t="shared" si="94"/>
        <v/>
      </c>
      <c r="K1256" s="31"/>
      <c r="L1256" s="31"/>
      <c r="M1256" s="21"/>
      <c r="N1256" s="21" t="s">
        <v>668</v>
      </c>
      <c r="O1256" s="21"/>
      <c r="P1256" s="21"/>
      <c r="Q1256" s="21"/>
      <c r="R1256" s="21"/>
      <c r="S1256" s="21"/>
      <c r="T1256" s="21"/>
      <c r="U1256" s="21"/>
      <c r="V1256" s="21"/>
    </row>
    <row r="1257" spans="1:22" s="2" customFormat="1" ht="40.15" customHeight="1" x14ac:dyDescent="0.25">
      <c r="A1257" s="665">
        <f>A1249+1</f>
        <v>361</v>
      </c>
      <c r="B1257" s="384"/>
      <c r="C1257" s="383" t="s">
        <v>781</v>
      </c>
      <c r="D1257" s="100">
        <f t="shared" si="95"/>
        <v>1632</v>
      </c>
      <c r="E1257" s="435" t="s">
        <v>171</v>
      </c>
      <c r="F1257" s="699" t="s">
        <v>2839</v>
      </c>
      <c r="G1257" s="927"/>
      <c r="H1257" s="940"/>
      <c r="I1257" s="923"/>
      <c r="J1257" s="198" t="str">
        <f t="shared" si="94"/>
        <v/>
      </c>
      <c r="K1257" s="31"/>
      <c r="L1257" s="43"/>
      <c r="M1257" s="21"/>
      <c r="N1257" s="21"/>
      <c r="O1257" s="21"/>
      <c r="P1257" s="21"/>
      <c r="Q1257" s="21"/>
      <c r="R1257" s="847" t="s">
        <v>776</v>
      </c>
      <c r="S1257" s="847"/>
      <c r="T1257" s="847"/>
      <c r="U1257" s="847"/>
      <c r="V1257" s="21"/>
    </row>
    <row r="1258" spans="1:22" s="2" customFormat="1" ht="30" customHeight="1" x14ac:dyDescent="0.25">
      <c r="A1258" s="613" t="s">
        <v>94</v>
      </c>
      <c r="B1258" s="384"/>
      <c r="C1258" s="384"/>
      <c r="D1258" s="435"/>
      <c r="E1258" s="429"/>
      <c r="F1258" s="714"/>
      <c r="G1258" s="924"/>
      <c r="H1258" s="922"/>
      <c r="I1258" s="923"/>
      <c r="J1258" s="98"/>
      <c r="K1258" s="31"/>
      <c r="L1258" s="31"/>
      <c r="M1258" s="21"/>
      <c r="N1258" s="21"/>
      <c r="O1258" s="21"/>
      <c r="P1258" s="21"/>
      <c r="Q1258" s="21"/>
      <c r="R1258" s="21"/>
      <c r="S1258" s="21"/>
      <c r="T1258" s="21"/>
      <c r="U1258" s="21"/>
      <c r="V1258" s="21"/>
    </row>
    <row r="1259" spans="1:22" s="2" customFormat="1" ht="30" customHeight="1" x14ac:dyDescent="0.25">
      <c r="A1259" s="661">
        <f>A1257+1</f>
        <v>362</v>
      </c>
      <c r="B1259" s="382" t="s">
        <v>41</v>
      </c>
      <c r="C1259" s="383" t="s">
        <v>2349</v>
      </c>
      <c r="D1259" s="512">
        <f>D1257+1</f>
        <v>1633</v>
      </c>
      <c r="E1259" s="427" t="s">
        <v>171</v>
      </c>
      <c r="F1259" s="699" t="s">
        <v>263</v>
      </c>
      <c r="G1259" s="924"/>
      <c r="H1259" s="922"/>
      <c r="I1259" s="923"/>
      <c r="J1259" s="198" t="str">
        <f t="shared" ref="J1259:J1264" si="96">IF(LEN(F1259)&gt;0,"","Belum Terisi")</f>
        <v/>
      </c>
      <c r="K1259" s="31"/>
      <c r="L1259" s="43"/>
      <c r="M1259" s="21"/>
      <c r="N1259" s="21"/>
      <c r="O1259" s="21"/>
      <c r="P1259" s="21"/>
      <c r="Q1259" s="21"/>
      <c r="R1259" s="21"/>
      <c r="S1259" s="21"/>
      <c r="T1259" s="21"/>
      <c r="U1259" s="21"/>
      <c r="V1259" s="21"/>
    </row>
    <row r="1260" spans="1:22" s="2" customFormat="1" ht="30" customHeight="1" x14ac:dyDescent="0.25">
      <c r="A1260" s="663"/>
      <c r="B1260" s="382" t="s">
        <v>139</v>
      </c>
      <c r="C1260" s="383" t="s">
        <v>2350</v>
      </c>
      <c r="D1260" s="512">
        <f t="shared" ref="D1260:D1264" si="97">D1259+1</f>
        <v>1634</v>
      </c>
      <c r="E1260" s="427" t="s">
        <v>51</v>
      </c>
      <c r="F1260" s="730">
        <v>0</v>
      </c>
      <c r="G1260" s="924"/>
      <c r="H1260" s="922" t="s">
        <v>2340</v>
      </c>
      <c r="I1260" s="923"/>
      <c r="J1260" s="198" t="str">
        <f t="shared" si="96"/>
        <v/>
      </c>
      <c r="K1260" s="31"/>
      <c r="L1260" s="31"/>
      <c r="M1260" s="21"/>
      <c r="N1260" s="21"/>
      <c r="O1260" s="21"/>
      <c r="P1260" s="21"/>
      <c r="Q1260" s="21"/>
      <c r="R1260" s="21"/>
      <c r="S1260" s="21"/>
      <c r="T1260" s="21"/>
      <c r="U1260" s="21"/>
      <c r="V1260" s="21"/>
    </row>
    <row r="1261" spans="1:22" s="2" customFormat="1" ht="30" customHeight="1" x14ac:dyDescent="0.25">
      <c r="A1261" s="663"/>
      <c r="B1261" s="382" t="s">
        <v>251</v>
      </c>
      <c r="C1261" s="383" t="s">
        <v>2351</v>
      </c>
      <c r="D1261" s="512">
        <f t="shared" si="97"/>
        <v>1635</v>
      </c>
      <c r="E1261" s="427" t="s">
        <v>171</v>
      </c>
      <c r="F1261" s="699" t="s">
        <v>263</v>
      </c>
      <c r="G1261" s="924"/>
      <c r="H1261" s="922"/>
      <c r="I1261" s="923"/>
      <c r="J1261" s="198" t="str">
        <f t="shared" si="96"/>
        <v/>
      </c>
      <c r="K1261" s="31"/>
      <c r="L1261" s="43"/>
      <c r="M1261" s="21"/>
      <c r="N1261" s="21"/>
      <c r="O1261" s="21"/>
      <c r="P1261" s="21"/>
      <c r="Q1261" s="21"/>
      <c r="R1261" s="21"/>
      <c r="S1261" s="21"/>
      <c r="T1261" s="21"/>
      <c r="U1261" s="21"/>
      <c r="V1261" s="21"/>
    </row>
    <row r="1262" spans="1:22" s="2" customFormat="1" ht="30" customHeight="1" x14ac:dyDescent="0.25">
      <c r="A1262" s="663"/>
      <c r="B1262" s="382" t="s">
        <v>255</v>
      </c>
      <c r="C1262" s="383" t="s">
        <v>2352</v>
      </c>
      <c r="D1262" s="512">
        <f t="shared" si="97"/>
        <v>1636</v>
      </c>
      <c r="E1262" s="427" t="s">
        <v>51</v>
      </c>
      <c r="F1262" s="730">
        <v>0</v>
      </c>
      <c r="G1262" s="924"/>
      <c r="H1262" s="922" t="s">
        <v>2340</v>
      </c>
      <c r="I1262" s="923"/>
      <c r="J1262" s="198" t="str">
        <f t="shared" si="96"/>
        <v/>
      </c>
      <c r="K1262" s="31"/>
      <c r="L1262" s="43"/>
      <c r="M1262" s="21"/>
      <c r="N1262" s="21"/>
      <c r="O1262" s="21"/>
      <c r="P1262" s="21"/>
      <c r="Q1262" s="21"/>
      <c r="R1262" s="21"/>
      <c r="S1262" s="21"/>
      <c r="T1262" s="21"/>
      <c r="U1262" s="21"/>
      <c r="V1262" s="21"/>
    </row>
    <row r="1263" spans="1:22" s="2" customFormat="1" ht="30" customHeight="1" x14ac:dyDescent="0.25">
      <c r="A1263" s="663"/>
      <c r="B1263" s="382" t="s">
        <v>252</v>
      </c>
      <c r="C1263" s="383" t="s">
        <v>2353</v>
      </c>
      <c r="D1263" s="512">
        <f t="shared" si="97"/>
        <v>1637</v>
      </c>
      <c r="E1263" s="427" t="s">
        <v>171</v>
      </c>
      <c r="F1263" s="699" t="s">
        <v>285</v>
      </c>
      <c r="G1263" s="924"/>
      <c r="H1263" s="922"/>
      <c r="I1263" s="923"/>
      <c r="J1263" s="198" t="str">
        <f t="shared" si="96"/>
        <v/>
      </c>
      <c r="K1263" s="31"/>
      <c r="L1263" s="31"/>
      <c r="M1263" s="21"/>
      <c r="N1263" s="21"/>
      <c r="O1263" s="21"/>
      <c r="P1263" s="21"/>
      <c r="Q1263" s="21"/>
      <c r="R1263" s="21"/>
      <c r="S1263" s="21"/>
      <c r="T1263" s="21"/>
      <c r="U1263" s="21"/>
      <c r="V1263" s="21"/>
    </row>
    <row r="1264" spans="1:22" s="2" customFormat="1" ht="30" customHeight="1" x14ac:dyDescent="0.25">
      <c r="A1264" s="662"/>
      <c r="B1264" s="382" t="s">
        <v>253</v>
      </c>
      <c r="C1264" s="383" t="s">
        <v>873</v>
      </c>
      <c r="D1264" s="512">
        <f t="shared" si="97"/>
        <v>1638</v>
      </c>
      <c r="E1264" s="427" t="s">
        <v>174</v>
      </c>
      <c r="F1264" s="699">
        <v>0</v>
      </c>
      <c r="G1264" s="924"/>
      <c r="H1264" s="922"/>
      <c r="I1264" s="923"/>
      <c r="J1264" s="198" t="str">
        <f t="shared" si="96"/>
        <v/>
      </c>
      <c r="K1264" s="31"/>
      <c r="L1264" s="43"/>
      <c r="M1264" s="21"/>
      <c r="N1264" s="21"/>
      <c r="O1264" s="21"/>
      <c r="P1264" s="21"/>
      <c r="Q1264" s="21"/>
      <c r="R1264" s="21"/>
      <c r="S1264" s="21"/>
      <c r="T1264" s="21"/>
      <c r="U1264" s="21"/>
      <c r="V1264" s="21"/>
    </row>
    <row r="1265" spans="1:22" s="2" customFormat="1" ht="30" customHeight="1" x14ac:dyDescent="0.25">
      <c r="A1265" s="623" t="s">
        <v>409</v>
      </c>
      <c r="B1265" s="312"/>
      <c r="C1265" s="385"/>
      <c r="D1265" s="521"/>
      <c r="E1265" s="482"/>
      <c r="F1265" s="740"/>
      <c r="G1265" s="961"/>
      <c r="H1265" s="922"/>
      <c r="I1265" s="923"/>
      <c r="J1265" s="198"/>
      <c r="K1265" s="31"/>
      <c r="L1265" s="43"/>
      <c r="M1265" s="21"/>
      <c r="N1265" s="21"/>
      <c r="O1265" s="21"/>
      <c r="P1265" s="21"/>
      <c r="Q1265" s="21"/>
      <c r="R1265" s="21"/>
      <c r="S1265" s="21"/>
      <c r="T1265" s="21"/>
      <c r="U1265" s="21"/>
      <c r="V1265" s="21"/>
    </row>
    <row r="1266" spans="1:22" s="2" customFormat="1" ht="30" customHeight="1" x14ac:dyDescent="0.25">
      <c r="A1266" s="627">
        <f>A1259+1</f>
        <v>363</v>
      </c>
      <c r="B1266" s="314" t="s">
        <v>41</v>
      </c>
      <c r="C1266" s="319" t="s">
        <v>101</v>
      </c>
      <c r="D1266" s="512">
        <f>D1264+1</f>
        <v>1639</v>
      </c>
      <c r="E1266" s="427" t="s">
        <v>171</v>
      </c>
      <c r="F1266" s="693" t="s">
        <v>263</v>
      </c>
      <c r="G1266" s="924"/>
      <c r="H1266" s="922"/>
      <c r="I1266" s="923"/>
      <c r="J1266" s="198" t="str">
        <f>IF(LEN(F1266)&gt;0,"","Belum Terisi")</f>
        <v/>
      </c>
      <c r="K1266" s="31"/>
      <c r="L1266" s="43"/>
      <c r="M1266" s="21"/>
      <c r="N1266" s="21"/>
      <c r="O1266" s="21"/>
      <c r="P1266" s="21"/>
      <c r="Q1266" s="21"/>
      <c r="R1266" s="21"/>
      <c r="S1266" s="21"/>
      <c r="T1266" s="21"/>
      <c r="U1266" s="21"/>
      <c r="V1266" s="21"/>
    </row>
    <row r="1267" spans="1:22" s="2" customFormat="1" ht="30" customHeight="1" x14ac:dyDescent="0.25">
      <c r="A1267" s="625"/>
      <c r="B1267" s="314" t="s">
        <v>139</v>
      </c>
      <c r="C1267" s="319" t="s">
        <v>100</v>
      </c>
      <c r="D1267" s="512">
        <f t="shared" ref="D1267:D1269" si="98">D1266+1</f>
        <v>1640</v>
      </c>
      <c r="E1267" s="427" t="s">
        <v>171</v>
      </c>
      <c r="F1267" s="694" t="s">
        <v>2841</v>
      </c>
      <c r="G1267" s="924"/>
      <c r="H1267" s="922"/>
      <c r="I1267" s="923"/>
      <c r="J1267" s="198" t="str">
        <f>IF(LEN(F1267)&gt;0,"","Belum Terisi")</f>
        <v/>
      </c>
      <c r="K1267" s="31"/>
      <c r="L1267" s="43"/>
      <c r="M1267" s="21"/>
      <c r="N1267" s="21"/>
      <c r="O1267" s="21"/>
      <c r="P1267" s="21"/>
      <c r="Q1267" s="21"/>
      <c r="R1267" s="21"/>
      <c r="S1267" s="21"/>
      <c r="T1267" s="21"/>
      <c r="U1267" s="21"/>
      <c r="V1267" s="21"/>
    </row>
    <row r="1268" spans="1:22" s="2" customFormat="1" ht="30" customHeight="1" x14ac:dyDescent="0.25">
      <c r="A1268" s="625"/>
      <c r="B1268" s="314" t="s">
        <v>251</v>
      </c>
      <c r="C1268" s="319" t="s">
        <v>102</v>
      </c>
      <c r="D1268" s="512">
        <f t="shared" si="98"/>
        <v>1641</v>
      </c>
      <c r="E1268" s="427" t="s">
        <v>171</v>
      </c>
      <c r="F1268" s="694" t="s">
        <v>263</v>
      </c>
      <c r="G1268" s="924"/>
      <c r="H1268" s="922"/>
      <c r="I1268" s="923"/>
      <c r="J1268" s="198" t="str">
        <f>IF(LEN(F1268)&gt;0,"","Belum Terisi")</f>
        <v/>
      </c>
      <c r="K1268" s="31"/>
      <c r="L1268" s="43"/>
      <c r="M1268" s="21"/>
      <c r="N1268" s="21"/>
      <c r="O1268" s="21"/>
      <c r="P1268" s="21"/>
      <c r="Q1268" s="21"/>
      <c r="R1268" s="21"/>
      <c r="S1268" s="21"/>
      <c r="T1268" s="21"/>
      <c r="U1268" s="21"/>
      <c r="V1268" s="21"/>
    </row>
    <row r="1269" spans="1:22" s="2" customFormat="1" ht="30" customHeight="1" x14ac:dyDescent="0.25">
      <c r="A1269" s="626"/>
      <c r="B1269" s="314" t="s">
        <v>255</v>
      </c>
      <c r="C1269" s="319" t="s">
        <v>103</v>
      </c>
      <c r="D1269" s="512">
        <f t="shared" si="98"/>
        <v>1642</v>
      </c>
      <c r="E1269" s="427" t="s">
        <v>171</v>
      </c>
      <c r="F1269" s="697" t="s">
        <v>263</v>
      </c>
      <c r="G1269" s="924"/>
      <c r="H1269" s="922"/>
      <c r="I1269" s="923"/>
      <c r="J1269" s="198" t="str">
        <f>IF(LEN(F1269)&gt;0,"","Belum Terisi")</f>
        <v/>
      </c>
      <c r="K1269" s="31"/>
      <c r="L1269" s="31"/>
      <c r="M1269" s="21"/>
      <c r="N1269" s="21"/>
      <c r="O1269" s="21"/>
      <c r="P1269" s="21"/>
      <c r="Q1269" s="21"/>
      <c r="R1269" s="21"/>
      <c r="S1269" s="21"/>
      <c r="T1269" s="21"/>
      <c r="U1269" s="21"/>
      <c r="V1269" s="21"/>
    </row>
    <row r="1270" spans="1:22" s="2" customFormat="1" ht="30" customHeight="1" x14ac:dyDescent="0.25">
      <c r="A1270" s="623" t="s">
        <v>104</v>
      </c>
      <c r="B1270" s="322"/>
      <c r="C1270" s="310"/>
      <c r="D1270" s="521"/>
      <c r="E1270" s="482"/>
      <c r="F1270" s="740"/>
      <c r="G1270" s="924"/>
      <c r="H1270" s="922"/>
      <c r="I1270" s="923"/>
      <c r="J1270" s="98"/>
      <c r="K1270" s="31"/>
      <c r="L1270" s="43"/>
      <c r="M1270" s="21"/>
      <c r="N1270" s="21"/>
      <c r="O1270" s="21"/>
      <c r="P1270" s="21"/>
      <c r="Q1270" s="21"/>
      <c r="R1270" s="21"/>
      <c r="S1270" s="21"/>
      <c r="T1270" s="21"/>
      <c r="U1270" s="21"/>
      <c r="V1270" s="21"/>
    </row>
    <row r="1271" spans="1:22" s="2" customFormat="1" ht="30" customHeight="1" x14ac:dyDescent="0.25">
      <c r="A1271" s="627">
        <f>A1266+1</f>
        <v>364</v>
      </c>
      <c r="B1271" s="314" t="s">
        <v>41</v>
      </c>
      <c r="C1271" s="319" t="s">
        <v>2354</v>
      </c>
      <c r="D1271" s="512">
        <f>D1269+1</f>
        <v>1643</v>
      </c>
      <c r="E1271" s="435" t="s">
        <v>171</v>
      </c>
      <c r="F1271" s="705" t="s">
        <v>263</v>
      </c>
      <c r="G1271" s="927"/>
      <c r="H1271" s="934"/>
      <c r="I1271" s="923"/>
      <c r="J1271" s="198" t="str">
        <f>IF(LEN(F1271)&gt;0,"","Belum Terisi")</f>
        <v/>
      </c>
      <c r="K1271" s="31"/>
      <c r="L1271" s="31"/>
      <c r="M1271" s="21"/>
      <c r="N1271" s="847" t="s">
        <v>668</v>
      </c>
      <c r="O1271" s="21"/>
      <c r="P1271" s="21"/>
      <c r="Q1271" s="21"/>
      <c r="R1271" s="21"/>
      <c r="S1271" s="21"/>
      <c r="T1271" s="21"/>
      <c r="U1271" s="21"/>
      <c r="V1271" s="21"/>
    </row>
    <row r="1272" spans="1:22" s="2" customFormat="1" ht="30" customHeight="1" x14ac:dyDescent="0.25">
      <c r="A1272" s="625"/>
      <c r="B1272" s="314" t="s">
        <v>139</v>
      </c>
      <c r="C1272" s="319" t="s">
        <v>2355</v>
      </c>
      <c r="D1272" s="512">
        <f t="shared" ref="D1272:D1288" si="99">D1271+1</f>
        <v>1644</v>
      </c>
      <c r="E1272" s="435" t="s">
        <v>171</v>
      </c>
      <c r="F1272" s="706" t="s">
        <v>263</v>
      </c>
      <c r="G1272" s="927"/>
      <c r="H1272" s="934"/>
      <c r="I1272" s="923"/>
      <c r="J1272" s="198" t="str">
        <f>IF(F1272="","Belum Terisi",IF(AND($F$1271="tidak Ada",F1272="Ada"),"CEK",""))</f>
        <v/>
      </c>
      <c r="K1272" s="31" t="str">
        <f>IF(J1272="CEK",$F$1271&amp;" Pengkajian Risiko Bencana di Desa","")</f>
        <v/>
      </c>
      <c r="L1272" s="31"/>
      <c r="M1272" s="21"/>
      <c r="N1272" s="847" t="s">
        <v>668</v>
      </c>
      <c r="O1272" s="21"/>
      <c r="P1272" s="21"/>
      <c r="Q1272" s="21"/>
      <c r="R1272" s="21"/>
      <c r="S1272" s="21"/>
      <c r="T1272" s="21"/>
      <c r="U1272" s="21"/>
      <c r="V1272" s="21"/>
    </row>
    <row r="1273" spans="1:22" s="2" customFormat="1" ht="30" customHeight="1" x14ac:dyDescent="0.25">
      <c r="A1273" s="625"/>
      <c r="B1273" s="314" t="s">
        <v>251</v>
      </c>
      <c r="C1273" s="319" t="s">
        <v>2356</v>
      </c>
      <c r="D1273" s="512">
        <f t="shared" si="99"/>
        <v>1645</v>
      </c>
      <c r="E1273" s="435" t="s">
        <v>171</v>
      </c>
      <c r="F1273" s="706" t="s">
        <v>263</v>
      </c>
      <c r="G1273" s="927"/>
      <c r="H1273" s="934"/>
      <c r="I1273" s="923"/>
      <c r="J1273" s="198" t="str">
        <f>IF(F1273="","Belum Terisi",IF(AND($F$1271="tidak Ada",F1273="Ada"),"CEK",""))</f>
        <v/>
      </c>
      <c r="K1273" s="31" t="str">
        <f>IF(J1273="CEK",$F$1271&amp;" Pengkajian Risiko Bencana di Desa","")</f>
        <v/>
      </c>
      <c r="L1273" s="31"/>
      <c r="M1273" s="21"/>
      <c r="N1273" s="847" t="s">
        <v>668</v>
      </c>
      <c r="O1273" s="21"/>
      <c r="P1273" s="21"/>
      <c r="Q1273" s="21"/>
      <c r="R1273" s="21"/>
      <c r="S1273" s="21"/>
      <c r="T1273" s="21"/>
      <c r="U1273" s="21"/>
      <c r="V1273" s="21"/>
    </row>
    <row r="1274" spans="1:22" s="2" customFormat="1" ht="40.15" customHeight="1" x14ac:dyDescent="0.25">
      <c r="A1274" s="625"/>
      <c r="B1274" s="314" t="s">
        <v>255</v>
      </c>
      <c r="C1274" s="319" t="s">
        <v>2357</v>
      </c>
      <c r="D1274" s="512">
        <f t="shared" si="99"/>
        <v>1646</v>
      </c>
      <c r="E1274" s="435" t="s">
        <v>171</v>
      </c>
      <c r="F1274" s="706" t="s">
        <v>263</v>
      </c>
      <c r="G1274" s="927"/>
      <c r="H1274" s="934"/>
      <c r="I1274" s="923"/>
      <c r="J1274" s="198" t="str">
        <f>IF(F1274="","Belum Terisi",IF(AND($F$1271="tidak Ada",F1274="Ada"),"CEK",""))</f>
        <v/>
      </c>
      <c r="K1274" s="31" t="str">
        <f>IF(J1274="CEK",$F$1271&amp;" Pengkajian Risiko Bencana di Desa","")</f>
        <v/>
      </c>
      <c r="L1274" s="31"/>
      <c r="M1274" s="21"/>
      <c r="N1274" s="847" t="s">
        <v>668</v>
      </c>
      <c r="O1274" s="21"/>
      <c r="P1274" s="21"/>
      <c r="Q1274" s="21"/>
      <c r="R1274" s="21"/>
      <c r="S1274" s="21"/>
      <c r="T1274" s="21"/>
      <c r="U1274" s="21"/>
      <c r="V1274" s="21"/>
    </row>
    <row r="1275" spans="1:22" s="2" customFormat="1" ht="40.15" customHeight="1" x14ac:dyDescent="0.25">
      <c r="A1275" s="626"/>
      <c r="B1275" s="314" t="s">
        <v>252</v>
      </c>
      <c r="C1275" s="319" t="s">
        <v>2358</v>
      </c>
      <c r="D1275" s="512">
        <f t="shared" si="99"/>
        <v>1647</v>
      </c>
      <c r="E1275" s="435" t="s">
        <v>171</v>
      </c>
      <c r="F1275" s="707" t="s">
        <v>263</v>
      </c>
      <c r="G1275" s="927"/>
      <c r="H1275" s="934"/>
      <c r="I1275" s="923"/>
      <c r="J1275" s="198" t="str">
        <f>IF(F1275="","Belum Terisi",IF(AND($F$1271="tidak Ada",F1275="Ada"),"CEK",""))</f>
        <v/>
      </c>
      <c r="K1275" s="31" t="str">
        <f>IF(J1275="CEK",$F$1271&amp;" Pengkajian Risiko Bencana di Desa","")</f>
        <v/>
      </c>
      <c r="L1275" s="31"/>
      <c r="M1275" s="21"/>
      <c r="N1275" s="847" t="s">
        <v>668</v>
      </c>
      <c r="O1275" s="21"/>
      <c r="P1275" s="21"/>
      <c r="Q1275" s="21"/>
      <c r="R1275" s="21"/>
      <c r="S1275" s="21"/>
      <c r="T1275" s="21"/>
      <c r="U1275" s="21"/>
      <c r="V1275" s="21"/>
    </row>
    <row r="1276" spans="1:22" s="2" customFormat="1" ht="30" customHeight="1" x14ac:dyDescent="0.25">
      <c r="A1276" s="627">
        <f>A1271+1</f>
        <v>365</v>
      </c>
      <c r="B1276" s="314" t="s">
        <v>41</v>
      </c>
      <c r="C1276" s="319" t="s">
        <v>2359</v>
      </c>
      <c r="D1276" s="512">
        <f t="shared" si="99"/>
        <v>1648</v>
      </c>
      <c r="E1276" s="427" t="s">
        <v>70</v>
      </c>
      <c r="F1276" s="730">
        <v>1</v>
      </c>
      <c r="G1276" s="924"/>
      <c r="H1276" s="925"/>
      <c r="I1276" s="923"/>
      <c r="J1276" s="198" t="str">
        <f>IF(F1276="","Belum Terisi",IF(AND('INPUTAN DESA ....'!F506="ada",F1276=0),"CEK",IF(AND('INPUTAN DESA ....'!F506="tidak ada",F1276&gt;0),"CEK","")))</f>
        <v/>
      </c>
      <c r="K1276" s="31" t="str">
        <f>IF(J1276="CEK",'INPUTAN DESA ....'!F506&amp;" Bencana Longsor","")</f>
        <v/>
      </c>
      <c r="L1276" s="31"/>
      <c r="M1276" s="21"/>
      <c r="N1276" s="847" t="s">
        <v>668</v>
      </c>
      <c r="O1276" s="21"/>
      <c r="P1276" s="21"/>
      <c r="Q1276" s="21"/>
      <c r="R1276" s="21"/>
      <c r="S1276" s="21"/>
      <c r="T1276" s="21"/>
      <c r="U1276" s="21"/>
      <c r="V1276" s="21"/>
    </row>
    <row r="1277" spans="1:22" s="2" customFormat="1" ht="30" customHeight="1" x14ac:dyDescent="0.25">
      <c r="A1277" s="625"/>
      <c r="B1277" s="314" t="s">
        <v>139</v>
      </c>
      <c r="C1277" s="319" t="s">
        <v>2360</v>
      </c>
      <c r="D1277" s="512">
        <f t="shared" si="99"/>
        <v>1649</v>
      </c>
      <c r="E1277" s="427" t="s">
        <v>70</v>
      </c>
      <c r="F1277" s="730">
        <v>0</v>
      </c>
      <c r="G1277" s="924"/>
      <c r="H1277" s="925"/>
      <c r="I1277" s="923"/>
      <c r="J1277" s="198" t="str">
        <f>IF(F1277="","Belum Terisi",IF(AND('INPUTAN DESA ....'!F507="ada",F1277=0),"CEK",IF(AND('INPUTAN DESA ....'!F507="tidak ada",F1277&gt;0),"CEK","")))</f>
        <v/>
      </c>
      <c r="K1277" s="31" t="str">
        <f>IF(J1277="CEK",'INPUTAN DESA ....'!F507&amp;" Bencana Banjr","")</f>
        <v/>
      </c>
      <c r="L1277" s="31"/>
      <c r="M1277" s="21"/>
      <c r="N1277" s="21" t="s">
        <v>668</v>
      </c>
      <c r="O1277" s="21"/>
      <c r="P1277" s="21"/>
      <c r="Q1277" s="21"/>
      <c r="R1277" s="21"/>
      <c r="S1277" s="21"/>
      <c r="T1277" s="21"/>
      <c r="U1277" s="21"/>
      <c r="V1277" s="21"/>
    </row>
    <row r="1278" spans="1:22" s="2" customFormat="1" ht="30" customHeight="1" x14ac:dyDescent="0.25">
      <c r="A1278" s="625"/>
      <c r="B1278" s="314" t="s">
        <v>251</v>
      </c>
      <c r="C1278" s="319" t="s">
        <v>2361</v>
      </c>
      <c r="D1278" s="512">
        <f t="shared" si="99"/>
        <v>1650</v>
      </c>
      <c r="E1278" s="427" t="s">
        <v>70</v>
      </c>
      <c r="F1278" s="730">
        <v>0</v>
      </c>
      <c r="G1278" s="924"/>
      <c r="H1278" s="925"/>
      <c r="I1278" s="923"/>
      <c r="J1278" s="198" t="str">
        <f>IF(F1278="","Belum Terisi",IF(AND('INPUTAN DESA ....'!F508="ada",F1278=0),"CEK",IF(AND('INPUTAN DESA ....'!F508="tidak ada",F1278&gt;0),"CEK","")))</f>
        <v/>
      </c>
      <c r="K1278" s="31" t="str">
        <f>IF(J1278="CEK",'INPUTAN DESA ....'!F508&amp;" Bencana Gempa Bumi","")</f>
        <v/>
      </c>
      <c r="L1278" s="31"/>
      <c r="M1278" s="21"/>
      <c r="N1278" s="21" t="s">
        <v>668</v>
      </c>
      <c r="O1278" s="21"/>
      <c r="P1278" s="21"/>
      <c r="Q1278" s="21"/>
      <c r="R1278" s="21"/>
      <c r="S1278" s="21"/>
      <c r="T1278" s="21"/>
      <c r="U1278" s="21"/>
      <c r="V1278" s="21"/>
    </row>
    <row r="1279" spans="1:22" s="2" customFormat="1" ht="30" customHeight="1" x14ac:dyDescent="0.25">
      <c r="A1279" s="625"/>
      <c r="B1279" s="314" t="s">
        <v>255</v>
      </c>
      <c r="C1279" s="319" t="s">
        <v>2362</v>
      </c>
      <c r="D1279" s="512">
        <f t="shared" si="99"/>
        <v>1651</v>
      </c>
      <c r="E1279" s="427" t="s">
        <v>70</v>
      </c>
      <c r="F1279" s="730">
        <v>0</v>
      </c>
      <c r="G1279" s="924"/>
      <c r="H1279" s="925"/>
      <c r="I1279" s="923"/>
      <c r="J1279" s="198" t="str">
        <f>IF(F1279="","Belum Terisi",IF(AND('INPUTAN DESA ....'!F509="ada",F1279=0),"CEK",IF(AND('INPUTAN DESA ....'!F509="tidak ada",F1279&gt;0),"CEK","")))</f>
        <v/>
      </c>
      <c r="K1279" s="31" t="str">
        <f>IF(J1279="CEK",'INPUTAN DESA ....'!F509&amp;" Bencana Tsunami","")</f>
        <v/>
      </c>
      <c r="L1279" s="31"/>
      <c r="M1279" s="21"/>
      <c r="N1279" s="21" t="s">
        <v>668</v>
      </c>
      <c r="O1279" s="21"/>
      <c r="P1279" s="21"/>
      <c r="Q1279" s="21"/>
      <c r="R1279" s="21"/>
      <c r="S1279" s="21"/>
      <c r="T1279" s="21"/>
      <c r="U1279" s="21"/>
      <c r="V1279" s="21"/>
    </row>
    <row r="1280" spans="1:22" s="2" customFormat="1" ht="30" customHeight="1" x14ac:dyDescent="0.25">
      <c r="A1280" s="625"/>
      <c r="B1280" s="314" t="s">
        <v>252</v>
      </c>
      <c r="C1280" s="319" t="s">
        <v>2363</v>
      </c>
      <c r="D1280" s="512">
        <f t="shared" si="99"/>
        <v>1652</v>
      </c>
      <c r="E1280" s="427" t="s">
        <v>70</v>
      </c>
      <c r="F1280" s="730">
        <v>0</v>
      </c>
      <c r="G1280" s="924"/>
      <c r="H1280" s="928"/>
      <c r="I1280" s="923"/>
      <c r="J1280" s="198" t="str">
        <f>IF(F1280="","Belum Terisi",IF(AND('INPUTAN DESA ....'!F510="ada",F1280=0),"CEK",IF(AND('INPUTAN DESA ....'!F510="tidak ada",F1280&gt;0),"CEK","")))</f>
        <v/>
      </c>
      <c r="K1280" s="31" t="str">
        <f>IF(J1280="CEK",'INPUTAN DESA ....'!F510&amp;" Bencana Gelombang Pasang Laut","")</f>
        <v/>
      </c>
      <c r="L1280" s="31"/>
      <c r="M1280" s="21"/>
      <c r="N1280" s="21" t="s">
        <v>668</v>
      </c>
      <c r="O1280" s="21"/>
      <c r="P1280" s="21"/>
      <c r="Q1280" s="21"/>
      <c r="R1280" s="21"/>
      <c r="S1280" s="21"/>
      <c r="T1280" s="21"/>
      <c r="U1280" s="21"/>
      <c r="V1280" s="21"/>
    </row>
    <row r="1281" spans="1:22" s="2" customFormat="1" ht="30" customHeight="1" x14ac:dyDescent="0.25">
      <c r="A1281" s="625"/>
      <c r="B1281" s="314" t="s">
        <v>253</v>
      </c>
      <c r="C1281" s="319" t="s">
        <v>2364</v>
      </c>
      <c r="D1281" s="512">
        <f t="shared" si="99"/>
        <v>1653</v>
      </c>
      <c r="E1281" s="427" t="s">
        <v>70</v>
      </c>
      <c r="F1281" s="730">
        <v>0</v>
      </c>
      <c r="G1281" s="924"/>
      <c r="H1281" s="922"/>
      <c r="I1281" s="923"/>
      <c r="J1281" s="198" t="str">
        <f>IF(F1281="","Belum Terisi",IF(AND('INPUTAN DESA ....'!F511="ada",F1281=0),"CEK",IF(AND('INPUTAN DESA ....'!F511="tidak ada",F1281&gt;0),"CEK","")))</f>
        <v/>
      </c>
      <c r="K1281" s="31" t="str">
        <f>IF(J1281="CEK",'INPUTAN DESA ....'!F511&amp;" Bencana Angin Puyuh/ Puting Beliung/ Topan","")</f>
        <v/>
      </c>
      <c r="L1281" s="31"/>
      <c r="M1281" s="21"/>
      <c r="N1281" s="21" t="s">
        <v>668</v>
      </c>
      <c r="O1281" s="21"/>
      <c r="P1281" s="21"/>
      <c r="Q1281" s="21"/>
      <c r="R1281" s="21"/>
      <c r="S1281" s="21"/>
      <c r="T1281" s="21"/>
      <c r="U1281" s="21"/>
      <c r="V1281" s="21"/>
    </row>
    <row r="1282" spans="1:22" s="2" customFormat="1" ht="30" customHeight="1" x14ac:dyDescent="0.25">
      <c r="A1282" s="625"/>
      <c r="B1282" s="314" t="s">
        <v>254</v>
      </c>
      <c r="C1282" s="319" t="s">
        <v>2365</v>
      </c>
      <c r="D1282" s="512">
        <f t="shared" si="99"/>
        <v>1654</v>
      </c>
      <c r="E1282" s="427" t="s">
        <v>70</v>
      </c>
      <c r="F1282" s="730">
        <v>0</v>
      </c>
      <c r="G1282" s="924"/>
      <c r="H1282" s="922"/>
      <c r="I1282" s="923"/>
      <c r="J1282" s="198" t="str">
        <f>IF(F1282="","Belum Terisi",IF(AND('INPUTAN DESA ....'!F512="ada",F1282=0),"CEK",IF(AND('INPUTAN DESA ....'!F512="tidak ada",F1282&gt;0),"CEK","")))</f>
        <v/>
      </c>
      <c r="K1282" s="31" t="str">
        <f>IF(J1282="CEK",'INPUTAN DESA ....'!F512&amp;" Bencana Gunung Meletus","")</f>
        <v/>
      </c>
      <c r="L1282" s="31"/>
      <c r="M1282" s="21"/>
      <c r="N1282" s="21" t="s">
        <v>668</v>
      </c>
      <c r="O1282" s="21"/>
      <c r="P1282" s="21"/>
      <c r="Q1282" s="21"/>
      <c r="R1282" s="21"/>
      <c r="S1282" s="21"/>
      <c r="T1282" s="21"/>
      <c r="U1282" s="21"/>
      <c r="V1282" s="21"/>
    </row>
    <row r="1283" spans="1:22" s="2" customFormat="1" ht="30" customHeight="1" x14ac:dyDescent="0.25">
      <c r="A1283" s="625"/>
      <c r="B1283" s="314" t="s">
        <v>256</v>
      </c>
      <c r="C1283" s="319" t="s">
        <v>2366</v>
      </c>
      <c r="D1283" s="512">
        <f t="shared" si="99"/>
        <v>1655</v>
      </c>
      <c r="E1283" s="427" t="s">
        <v>70</v>
      </c>
      <c r="F1283" s="730">
        <v>0</v>
      </c>
      <c r="G1283" s="924"/>
      <c r="H1283" s="922"/>
      <c r="I1283" s="923"/>
      <c r="J1283" s="198" t="str">
        <f>IF(F1283="","Belum Terisi",IF(AND('INPUTAN DESA ....'!F513="ada",F1283=0),"CEK",IF(AND('INPUTAN DESA ....'!F513="tidak ada",F1283&gt;0),"CEK","")))</f>
        <v/>
      </c>
      <c r="K1283" s="31" t="str">
        <f>IF(J1283="CEK",'INPUTAN DESA ....'!F513&amp;" Bencana Kebakaran Hutan","")</f>
        <v/>
      </c>
      <c r="L1283" s="31"/>
      <c r="M1283" s="21"/>
      <c r="N1283" s="21" t="s">
        <v>668</v>
      </c>
      <c r="O1283" s="21"/>
      <c r="P1283" s="21"/>
      <c r="Q1283" s="21"/>
      <c r="R1283" s="21"/>
      <c r="S1283" s="21"/>
      <c r="T1283" s="21"/>
      <c r="U1283" s="21"/>
      <c r="V1283" s="21"/>
    </row>
    <row r="1284" spans="1:22" s="2" customFormat="1" ht="30" customHeight="1" x14ac:dyDescent="0.25">
      <c r="A1284" s="625"/>
      <c r="B1284" s="314" t="s">
        <v>257</v>
      </c>
      <c r="C1284" s="319" t="s">
        <v>2367</v>
      </c>
      <c r="D1284" s="512">
        <f t="shared" si="99"/>
        <v>1656</v>
      </c>
      <c r="E1284" s="427" t="s">
        <v>70</v>
      </c>
      <c r="F1284" s="730">
        <v>0</v>
      </c>
      <c r="G1284" s="924"/>
      <c r="H1284" s="922"/>
      <c r="I1284" s="923"/>
      <c r="J1284" s="198" t="str">
        <f>IF(F1284="","Belum Terisi",IF(AND('INPUTAN DESA ....'!F514="ada",F1284=0),"CEK",IF(AND('INPUTAN DESA ....'!F514="tidak ada",F1284&gt;0),"CEK","")))</f>
        <v/>
      </c>
      <c r="K1284" s="31" t="str">
        <f>IF(J1284="CEK",'INPUTAN DESA ....'!F514&amp;" Bencana Kekeringan Lahan","")</f>
        <v/>
      </c>
      <c r="L1284" s="31"/>
      <c r="M1284" s="21"/>
      <c r="N1284" s="21" t="s">
        <v>668</v>
      </c>
      <c r="O1284" s="21"/>
      <c r="P1284" s="21"/>
      <c r="Q1284" s="21"/>
      <c r="R1284" s="21"/>
      <c r="S1284" s="21"/>
      <c r="T1284" s="21"/>
      <c r="U1284" s="21"/>
      <c r="V1284" s="21"/>
    </row>
    <row r="1285" spans="1:22" s="2" customFormat="1" ht="30" customHeight="1" x14ac:dyDescent="0.25">
      <c r="A1285" s="625"/>
      <c r="B1285" s="314" t="s">
        <v>259</v>
      </c>
      <c r="C1285" s="319" t="s">
        <v>2368</v>
      </c>
      <c r="D1285" s="512">
        <f t="shared" si="99"/>
        <v>1657</v>
      </c>
      <c r="E1285" s="435" t="s">
        <v>171</v>
      </c>
      <c r="F1285" s="686" t="s">
        <v>263</v>
      </c>
      <c r="G1285" s="924"/>
      <c r="H1285" s="922"/>
      <c r="I1285" s="923"/>
      <c r="J1285" s="198" t="str">
        <f>IF(LEN(F1285)&gt;0,"","Belum Terisi")</f>
        <v/>
      </c>
      <c r="K1285" s="31"/>
      <c r="L1285" s="31"/>
      <c r="M1285" s="21"/>
      <c r="N1285" s="21" t="s">
        <v>668</v>
      </c>
      <c r="O1285" s="21"/>
      <c r="P1285" s="21"/>
      <c r="Q1285" s="21"/>
      <c r="R1285" s="21"/>
      <c r="S1285" s="21"/>
      <c r="T1285" s="21"/>
      <c r="U1285" s="21"/>
      <c r="V1285" s="21"/>
    </row>
    <row r="1286" spans="1:22" s="2" customFormat="1" ht="30" customHeight="1" x14ac:dyDescent="0.25">
      <c r="A1286" s="625"/>
      <c r="B1286" s="314" t="s">
        <v>260</v>
      </c>
      <c r="C1286" s="319" t="s">
        <v>2369</v>
      </c>
      <c r="D1286" s="512">
        <f t="shared" si="99"/>
        <v>1658</v>
      </c>
      <c r="E1286" s="427" t="s">
        <v>70</v>
      </c>
      <c r="F1286" s="730">
        <v>0</v>
      </c>
      <c r="G1286" s="924"/>
      <c r="H1286" s="922"/>
      <c r="I1286" s="923"/>
      <c r="J1286" s="198" t="str">
        <f>IF(F1286="","Belum Terisi",IF(AND(F1285="Tidak Ada",F1286&lt;&gt;0),"CEK",IF(AND(F1285="Ada",F1286=0),"CEK","")))</f>
        <v/>
      </c>
      <c r="K1286" s="31" t="str">
        <f>IF(J1286="CEK",F1285&amp;" Kejadian Bencana Lainnya di Desa","")</f>
        <v/>
      </c>
      <c r="L1286" s="43"/>
      <c r="M1286" s="21"/>
      <c r="N1286" s="21" t="s">
        <v>668</v>
      </c>
      <c r="O1286" s="21"/>
      <c r="P1286" s="21"/>
      <c r="Q1286" s="21"/>
      <c r="R1286" s="21"/>
      <c r="S1286" s="21"/>
      <c r="T1286" s="21"/>
      <c r="U1286" s="21"/>
      <c r="V1286" s="21"/>
    </row>
    <row r="1287" spans="1:22" s="2" customFormat="1" ht="30" customHeight="1" x14ac:dyDescent="0.25">
      <c r="A1287" s="626"/>
      <c r="B1287" s="314" t="s">
        <v>575</v>
      </c>
      <c r="C1287" s="319" t="s">
        <v>2370</v>
      </c>
      <c r="D1287" s="512">
        <f t="shared" si="99"/>
        <v>1659</v>
      </c>
      <c r="E1287" s="427" t="s">
        <v>174</v>
      </c>
      <c r="F1287" s="699" t="s">
        <v>240</v>
      </c>
      <c r="G1287" s="924"/>
      <c r="H1287" s="922"/>
      <c r="I1287" s="923"/>
      <c r="J1287" s="198" t="str">
        <f>IF(LEN(F1287)&gt;0,"","Belum Terisi")</f>
        <v/>
      </c>
      <c r="K1287" s="31"/>
      <c r="L1287" s="43"/>
      <c r="M1287" s="21"/>
      <c r="N1287" s="21" t="s">
        <v>668</v>
      </c>
      <c r="O1287" s="21"/>
      <c r="P1287" s="21"/>
      <c r="Q1287" s="21"/>
      <c r="R1287" s="21"/>
      <c r="S1287" s="21"/>
      <c r="T1287" s="21"/>
      <c r="U1287" s="21"/>
      <c r="V1287" s="21"/>
    </row>
    <row r="1288" spans="1:22" s="2" customFormat="1" ht="30" customHeight="1" x14ac:dyDescent="0.25">
      <c r="A1288" s="861">
        <f>A1276+1</f>
        <v>366</v>
      </c>
      <c r="B1288" s="312"/>
      <c r="C1288" s="319" t="s">
        <v>715</v>
      </c>
      <c r="D1288" s="512">
        <f t="shared" si="99"/>
        <v>1660</v>
      </c>
      <c r="E1288" s="427" t="s">
        <v>171</v>
      </c>
      <c r="F1288" s="699" t="s">
        <v>2842</v>
      </c>
      <c r="G1288" s="924"/>
      <c r="H1288" s="928" t="s">
        <v>716</v>
      </c>
      <c r="I1288" s="923"/>
      <c r="J1288" s="198" t="str">
        <f>IF(LEN(F1288)&gt;0,"","Belum Terisi")</f>
        <v/>
      </c>
      <c r="K1288" s="31"/>
      <c r="L1288" s="43"/>
      <c r="M1288" s="21"/>
      <c r="N1288" s="21"/>
      <c r="O1288" s="21"/>
      <c r="P1288" s="21"/>
      <c r="Q1288" s="21"/>
      <c r="R1288" s="21"/>
      <c r="S1288" s="21"/>
      <c r="T1288" s="21"/>
      <c r="U1288" s="21"/>
      <c r="V1288" s="21"/>
    </row>
    <row r="1289" spans="1:22" s="2" customFormat="1" ht="30" customHeight="1" x14ac:dyDescent="0.25">
      <c r="A1289" s="623" t="s">
        <v>764</v>
      </c>
      <c r="B1289" s="312"/>
      <c r="C1289" s="385"/>
      <c r="D1289" s="495"/>
      <c r="E1289" s="495"/>
      <c r="F1289" s="786"/>
      <c r="G1289" s="927"/>
      <c r="H1289" s="948"/>
      <c r="I1289" s="923"/>
      <c r="J1289" s="198"/>
      <c r="K1289" s="31"/>
      <c r="L1289" s="43"/>
      <c r="M1289" s="21"/>
      <c r="N1289" s="21"/>
      <c r="O1289" s="21"/>
      <c r="P1289" s="21"/>
      <c r="Q1289" s="21"/>
      <c r="R1289" s="21"/>
      <c r="S1289" s="21"/>
      <c r="T1289" s="21"/>
      <c r="U1289" s="21"/>
      <c r="V1289" s="21"/>
    </row>
    <row r="1290" spans="1:22" s="2" customFormat="1" ht="30" customHeight="1" x14ac:dyDescent="0.25">
      <c r="A1290" s="627">
        <f>A1288+1</f>
        <v>367</v>
      </c>
      <c r="B1290" s="314" t="s">
        <v>41</v>
      </c>
      <c r="C1290" s="319" t="s">
        <v>2371</v>
      </c>
      <c r="D1290" s="100">
        <f>D1288+1</f>
        <v>1661</v>
      </c>
      <c r="E1290" s="427" t="s">
        <v>171</v>
      </c>
      <c r="F1290" s="693" t="s">
        <v>263</v>
      </c>
      <c r="G1290" s="924"/>
      <c r="H1290" s="922"/>
      <c r="I1290" s="923"/>
      <c r="J1290" s="198" t="str">
        <f>IF(LEN(F1290)&gt;0,"","Belum Terisi")</f>
        <v/>
      </c>
      <c r="K1290" s="31"/>
      <c r="L1290" s="43"/>
      <c r="M1290" s="21"/>
      <c r="N1290" s="847" t="s">
        <v>668</v>
      </c>
      <c r="O1290" s="21"/>
      <c r="P1290" s="21"/>
      <c r="Q1290" s="21"/>
      <c r="R1290" s="21"/>
      <c r="S1290" s="21"/>
      <c r="T1290" s="21"/>
      <c r="U1290" s="21"/>
      <c r="V1290" s="21"/>
    </row>
    <row r="1291" spans="1:22" s="2" customFormat="1" ht="40.15" customHeight="1" x14ac:dyDescent="0.25">
      <c r="A1291" s="625"/>
      <c r="B1291" s="314" t="s">
        <v>139</v>
      </c>
      <c r="C1291" s="319" t="s">
        <v>2372</v>
      </c>
      <c r="D1291" s="100">
        <f>D1290+1</f>
        <v>1662</v>
      </c>
      <c r="E1291" s="427" t="s">
        <v>171</v>
      </c>
      <c r="F1291" s="694" t="s">
        <v>263</v>
      </c>
      <c r="G1291" s="924"/>
      <c r="H1291" s="922"/>
      <c r="I1291" s="923"/>
      <c r="J1291" s="198" t="str">
        <f>IF(F1291="","Belum Terisi",IF(AND($F$1290="Tidak Ada",F1291="Ada"),"CEK",""))</f>
        <v/>
      </c>
      <c r="K1291" s="31" t="str">
        <f>IF(J1291="CEK",$F$1290&amp;" Fasilitasi Sistem Peringatan Dini Khusus Tsunami","")</f>
        <v/>
      </c>
      <c r="L1291" s="43"/>
      <c r="M1291" s="21"/>
      <c r="N1291" s="847" t="s">
        <v>668</v>
      </c>
      <c r="O1291" s="21"/>
      <c r="P1291" s="21"/>
      <c r="Q1291" s="21"/>
      <c r="R1291" s="21"/>
      <c r="S1291" s="21"/>
      <c r="T1291" s="21"/>
      <c r="U1291" s="21"/>
      <c r="V1291" s="21"/>
    </row>
    <row r="1292" spans="1:22" s="2" customFormat="1" ht="40.15" customHeight="1" x14ac:dyDescent="0.25">
      <c r="A1292" s="625"/>
      <c r="B1292" s="314" t="s">
        <v>251</v>
      </c>
      <c r="C1292" s="319" t="s">
        <v>2373</v>
      </c>
      <c r="D1292" s="100">
        <f t="shared" ref="D1292:D1297" si="100">D1291+1</f>
        <v>1663</v>
      </c>
      <c r="E1292" s="427" t="s">
        <v>171</v>
      </c>
      <c r="F1292" s="694" t="s">
        <v>263</v>
      </c>
      <c r="G1292" s="924"/>
      <c r="H1292" s="922"/>
      <c r="I1292" s="923"/>
      <c r="J1292" s="198" t="str">
        <f>IF(F1292="","Belum Terisi",IF(AND($F$1290="Tidak Ada",F1292="Ada"),"CEK",""))</f>
        <v/>
      </c>
      <c r="K1292" s="31" t="str">
        <f>IF(J1292="CEK",$F$1290&amp;" Fasilitasi Sistem Peringatan Dini Khusus Tsunami","")</f>
        <v/>
      </c>
      <c r="L1292" s="43"/>
      <c r="M1292" s="21"/>
      <c r="N1292" s="847" t="s">
        <v>668</v>
      </c>
      <c r="O1292" s="21"/>
      <c r="P1292" s="21"/>
      <c r="Q1292" s="21"/>
      <c r="R1292" s="21"/>
      <c r="S1292" s="21"/>
      <c r="T1292" s="21"/>
      <c r="U1292" s="21"/>
      <c r="V1292" s="21"/>
    </row>
    <row r="1293" spans="1:22" s="2" customFormat="1" ht="40.15" customHeight="1" x14ac:dyDescent="0.25">
      <c r="A1293" s="626"/>
      <c r="B1293" s="314" t="s">
        <v>255</v>
      </c>
      <c r="C1293" s="319" t="s">
        <v>2374</v>
      </c>
      <c r="D1293" s="100">
        <f t="shared" si="100"/>
        <v>1664</v>
      </c>
      <c r="E1293" s="427" t="s">
        <v>171</v>
      </c>
      <c r="F1293" s="697" t="s">
        <v>263</v>
      </c>
      <c r="G1293" s="924"/>
      <c r="H1293" s="922"/>
      <c r="I1293" s="923"/>
      <c r="J1293" s="198" t="str">
        <f>IF(F1293="","Belum Terisi",IF(AND($F$1290="Tidak Ada",F1293="Ada"),"CEK",""))</f>
        <v/>
      </c>
      <c r="K1293" s="31" t="str">
        <f>IF(J1293="CEK",$F$1290&amp;" Fasilitasi Sistem Peringatan Dini Khusus Tsunami","")</f>
        <v/>
      </c>
      <c r="L1293" s="43"/>
      <c r="M1293" s="21"/>
      <c r="N1293" s="847" t="s">
        <v>668</v>
      </c>
      <c r="O1293" s="21"/>
      <c r="P1293" s="21"/>
      <c r="Q1293" s="21"/>
      <c r="R1293" s="21"/>
      <c r="S1293" s="21"/>
      <c r="T1293" s="21"/>
      <c r="U1293" s="21"/>
      <c r="V1293" s="21"/>
    </row>
    <row r="1294" spans="1:22" s="2" customFormat="1" ht="40.15" customHeight="1" x14ac:dyDescent="0.25">
      <c r="A1294" s="627">
        <f>A1290+1</f>
        <v>368</v>
      </c>
      <c r="B1294" s="314" t="s">
        <v>41</v>
      </c>
      <c r="C1294" s="319" t="s">
        <v>2375</v>
      </c>
      <c r="D1294" s="100">
        <f t="shared" si="100"/>
        <v>1665</v>
      </c>
      <c r="E1294" s="463" t="s">
        <v>171</v>
      </c>
      <c r="F1294" s="805" t="s">
        <v>263</v>
      </c>
      <c r="G1294" s="927"/>
      <c r="H1294" s="928"/>
      <c r="I1294" s="923"/>
      <c r="J1294" s="198" t="str">
        <f>IF(LEN(F1294)&gt;0,"","Belum Terisi")</f>
        <v/>
      </c>
      <c r="K1294" s="31"/>
      <c r="L1294" s="43"/>
      <c r="M1294" s="21"/>
      <c r="N1294" s="847" t="s">
        <v>668</v>
      </c>
      <c r="O1294" s="21"/>
      <c r="P1294" s="21"/>
      <c r="Q1294" s="21"/>
      <c r="R1294" s="21"/>
      <c r="S1294" s="21"/>
      <c r="T1294" s="21"/>
      <c r="U1294" s="21"/>
      <c r="V1294" s="21"/>
    </row>
    <row r="1295" spans="1:22" s="2" customFormat="1" ht="30" customHeight="1" x14ac:dyDescent="0.25">
      <c r="A1295" s="625"/>
      <c r="B1295" s="314" t="s">
        <v>139</v>
      </c>
      <c r="C1295" s="319" t="s">
        <v>2376</v>
      </c>
      <c r="D1295" s="100">
        <f t="shared" si="100"/>
        <v>1666</v>
      </c>
      <c r="E1295" s="463" t="s">
        <v>171</v>
      </c>
      <c r="F1295" s="772" t="s">
        <v>263</v>
      </c>
      <c r="G1295" s="927"/>
      <c r="H1295" s="928"/>
      <c r="I1295" s="923"/>
      <c r="J1295" s="198" t="str">
        <f>IF(F1295="","Belum Terisi",IF(AND($F$1294="Tidak Ada",F1295="Ada"),"CEK",""))</f>
        <v/>
      </c>
      <c r="K1295" s="31" t="str">
        <f>IF(J1295="CEK",$F$1294&amp;" Peringatan Bahaya Sebelum Terjadi Bencana","")</f>
        <v/>
      </c>
      <c r="L1295" s="43"/>
      <c r="M1295" s="21"/>
      <c r="N1295" s="847" t="s">
        <v>668</v>
      </c>
      <c r="O1295" s="21"/>
      <c r="P1295" s="21"/>
      <c r="Q1295" s="21"/>
      <c r="R1295" s="21"/>
      <c r="S1295" s="21"/>
      <c r="T1295" s="21"/>
      <c r="U1295" s="21"/>
      <c r="V1295" s="21"/>
    </row>
    <row r="1296" spans="1:22" s="2" customFormat="1" ht="40.15" customHeight="1" x14ac:dyDescent="0.25">
      <c r="A1296" s="625"/>
      <c r="B1296" s="314" t="s">
        <v>251</v>
      </c>
      <c r="C1296" s="319" t="s">
        <v>2377</v>
      </c>
      <c r="D1296" s="100">
        <f t="shared" si="100"/>
        <v>1667</v>
      </c>
      <c r="E1296" s="463" t="s">
        <v>171</v>
      </c>
      <c r="F1296" s="772" t="s">
        <v>263</v>
      </c>
      <c r="G1296" s="927"/>
      <c r="H1296" s="928"/>
      <c r="I1296" s="923"/>
      <c r="J1296" s="198" t="str">
        <f>IF(F1296="","Belum Terisi",IF(AND($F$1294="Tidak Ada",F1296="Ada"),"CEK",""))</f>
        <v/>
      </c>
      <c r="K1296" s="31" t="str">
        <f>IF(J1296="CEK",$F$1294&amp;" Peringatan Bahaya Sebelum Terjadi Bencana","")</f>
        <v/>
      </c>
      <c r="L1296" s="43"/>
      <c r="M1296" s="21"/>
      <c r="N1296" s="847" t="s">
        <v>668</v>
      </c>
      <c r="O1296" s="21"/>
      <c r="P1296" s="21"/>
      <c r="Q1296" s="21"/>
      <c r="R1296" s="21"/>
      <c r="S1296" s="21"/>
      <c r="T1296" s="21"/>
      <c r="U1296" s="21"/>
      <c r="V1296" s="21"/>
    </row>
    <row r="1297" spans="1:22" s="2" customFormat="1" ht="40.15" customHeight="1" x14ac:dyDescent="0.25">
      <c r="A1297" s="626"/>
      <c r="B1297" s="314" t="s">
        <v>255</v>
      </c>
      <c r="C1297" s="319" t="s">
        <v>2378</v>
      </c>
      <c r="D1297" s="100">
        <f t="shared" si="100"/>
        <v>1668</v>
      </c>
      <c r="E1297" s="463" t="s">
        <v>171</v>
      </c>
      <c r="F1297" s="807" t="s">
        <v>263</v>
      </c>
      <c r="G1297" s="927"/>
      <c r="H1297" s="928"/>
      <c r="I1297" s="923"/>
      <c r="J1297" s="198" t="str">
        <f>IF(F1297="","Belum Terisi",IF(AND($F$1294="Tidak Ada",F1297="Ada"),"CEK",""))</f>
        <v/>
      </c>
      <c r="K1297" s="31" t="str">
        <f>IF(J1297="CEK",$F$1294&amp;" Peringatan Bahaya Sebelum Terjadi Bencana","")</f>
        <v/>
      </c>
      <c r="L1297" s="43"/>
      <c r="M1297" s="21"/>
      <c r="N1297" s="847" t="s">
        <v>668</v>
      </c>
      <c r="O1297" s="21"/>
      <c r="P1297" s="21"/>
      <c r="Q1297" s="21"/>
      <c r="R1297" s="21"/>
      <c r="S1297" s="21"/>
      <c r="T1297" s="21"/>
      <c r="U1297" s="21"/>
      <c r="V1297" s="21"/>
    </row>
    <row r="1298" spans="1:22" s="2" customFormat="1" ht="30" customHeight="1" x14ac:dyDescent="0.25">
      <c r="A1298" s="623" t="s">
        <v>765</v>
      </c>
      <c r="B1298" s="322"/>
      <c r="C1298" s="310"/>
      <c r="D1298" s="429"/>
      <c r="E1298" s="429"/>
      <c r="F1298" s="732"/>
      <c r="G1298" s="924"/>
      <c r="H1298" s="922"/>
      <c r="I1298" s="923"/>
      <c r="J1298" s="198"/>
      <c r="K1298" s="31"/>
      <c r="L1298" s="43"/>
      <c r="M1298" s="21"/>
      <c r="N1298" s="847" t="s">
        <v>668</v>
      </c>
      <c r="O1298" s="21"/>
      <c r="P1298" s="21"/>
      <c r="Q1298" s="21"/>
      <c r="R1298" s="21"/>
      <c r="S1298" s="21"/>
      <c r="T1298" s="21"/>
      <c r="U1298" s="21"/>
      <c r="V1298" s="21"/>
    </row>
    <row r="1299" spans="1:22" s="2" customFormat="1" ht="30" customHeight="1" x14ac:dyDescent="0.25">
      <c r="A1299" s="627">
        <f>A1294+1</f>
        <v>369</v>
      </c>
      <c r="B1299" s="314" t="s">
        <v>41</v>
      </c>
      <c r="C1299" s="319" t="s">
        <v>2379</v>
      </c>
      <c r="D1299" s="512">
        <f>D1297+1</f>
        <v>1669</v>
      </c>
      <c r="E1299" s="427" t="s">
        <v>171</v>
      </c>
      <c r="F1299" s="693" t="s">
        <v>263</v>
      </c>
      <c r="G1299" s="924"/>
      <c r="H1299" s="922"/>
      <c r="I1299" s="923"/>
      <c r="J1299" s="198" t="str">
        <f>IF(LEN(F1299)&gt;0,"","Belum Terisi")</f>
        <v/>
      </c>
      <c r="K1299" s="31"/>
      <c r="L1299" s="43"/>
      <c r="M1299" s="21"/>
      <c r="N1299" s="847" t="s">
        <v>668</v>
      </c>
      <c r="O1299" s="21"/>
      <c r="P1299" s="21"/>
      <c r="Q1299" s="21"/>
      <c r="R1299" s="21"/>
      <c r="S1299" s="21"/>
      <c r="T1299" s="21"/>
      <c r="U1299" s="21"/>
      <c r="V1299" s="21"/>
    </row>
    <row r="1300" spans="1:22" s="2" customFormat="1" ht="30" customHeight="1" x14ac:dyDescent="0.25">
      <c r="A1300" s="625"/>
      <c r="B1300" s="314" t="s">
        <v>139</v>
      </c>
      <c r="C1300" s="319" t="s">
        <v>2380</v>
      </c>
      <c r="D1300" s="512">
        <f t="shared" ref="D1300:D1327" si="101">D1299+1</f>
        <v>1670</v>
      </c>
      <c r="E1300" s="427" t="s">
        <v>171</v>
      </c>
      <c r="F1300" s="694" t="s">
        <v>263</v>
      </c>
      <c r="G1300" s="924"/>
      <c r="H1300" s="922"/>
      <c r="I1300" s="923"/>
      <c r="J1300" s="198" t="str">
        <f>IF(F1300="","Belum Terisi",IF(AND($F$1299="Tidak Ada",F1300="Ada"),"CEK",""))</f>
        <v/>
      </c>
      <c r="K1300" s="31" t="str">
        <f>IF(J1300="CEK",$F$1299&amp;" Rencana Evakuasi Jika Terjadi Bencana","")</f>
        <v/>
      </c>
      <c r="L1300" s="43"/>
      <c r="M1300" s="21"/>
      <c r="N1300" s="847" t="s">
        <v>668</v>
      </c>
      <c r="O1300" s="21"/>
      <c r="P1300" s="21"/>
      <c r="Q1300" s="21"/>
      <c r="R1300" s="21"/>
      <c r="S1300" s="21"/>
      <c r="T1300" s="21"/>
      <c r="U1300" s="21"/>
      <c r="V1300" s="21"/>
    </row>
    <row r="1301" spans="1:22" s="2" customFormat="1" ht="30" customHeight="1" x14ac:dyDescent="0.25">
      <c r="A1301" s="625"/>
      <c r="B1301" s="314" t="s">
        <v>251</v>
      </c>
      <c r="C1301" s="319" t="s">
        <v>2381</v>
      </c>
      <c r="D1301" s="512">
        <f t="shared" si="101"/>
        <v>1671</v>
      </c>
      <c r="E1301" s="427" t="s">
        <v>171</v>
      </c>
      <c r="F1301" s="694" t="s">
        <v>263</v>
      </c>
      <c r="G1301" s="924"/>
      <c r="H1301" s="922"/>
      <c r="I1301" s="923"/>
      <c r="J1301" s="198" t="str">
        <f>IF(F1301="","Belum Terisi",IF(AND($F$1299="Tidak Ada",F1301="Ada"),"CEK",""))</f>
        <v/>
      </c>
      <c r="K1301" s="31" t="str">
        <f>IF(J1301="CEK",$F$1299&amp;" Rencana Evakuasi Jika Terjadi Bencana","")</f>
        <v/>
      </c>
      <c r="L1301" s="43"/>
      <c r="M1301" s="21"/>
      <c r="N1301" s="847" t="s">
        <v>668</v>
      </c>
      <c r="O1301" s="21"/>
      <c r="P1301" s="21"/>
      <c r="Q1301" s="21"/>
      <c r="R1301" s="21"/>
      <c r="S1301" s="21"/>
      <c r="T1301" s="21"/>
      <c r="U1301" s="21"/>
      <c r="V1301" s="21"/>
    </row>
    <row r="1302" spans="1:22" s="2" customFormat="1" ht="40.15" customHeight="1" x14ac:dyDescent="0.25">
      <c r="A1302" s="626"/>
      <c r="B1302" s="314" t="s">
        <v>255</v>
      </c>
      <c r="C1302" s="319" t="s">
        <v>2382</v>
      </c>
      <c r="D1302" s="512">
        <f t="shared" si="101"/>
        <v>1672</v>
      </c>
      <c r="E1302" s="427" t="s">
        <v>171</v>
      </c>
      <c r="F1302" s="697" t="s">
        <v>263</v>
      </c>
      <c r="G1302" s="924"/>
      <c r="H1302" s="922"/>
      <c r="I1302" s="923"/>
      <c r="J1302" s="198" t="str">
        <f>IF(F1302="","Belum Terisi",IF(AND($F$1299="Tidak Ada",F1302="Ada"),"CEK",""))</f>
        <v/>
      </c>
      <c r="K1302" s="31" t="str">
        <f>IF(J1302="CEK",$F$1299&amp;" Rencana Evakuasi Jika Terjadi Bencana","")</f>
        <v/>
      </c>
      <c r="L1302" s="43"/>
      <c r="M1302" s="21"/>
      <c r="N1302" s="847" t="s">
        <v>668</v>
      </c>
      <c r="O1302" s="21"/>
      <c r="P1302" s="21"/>
      <c r="Q1302" s="21"/>
      <c r="R1302" s="21"/>
      <c r="S1302" s="21"/>
      <c r="T1302" s="21"/>
      <c r="U1302" s="21"/>
      <c r="V1302" s="21"/>
    </row>
    <row r="1303" spans="1:22" s="2" customFormat="1" ht="30" customHeight="1" x14ac:dyDescent="0.25">
      <c r="A1303" s="623" t="s">
        <v>766</v>
      </c>
      <c r="B1303" s="322"/>
      <c r="C1303" s="310"/>
      <c r="D1303" s="427"/>
      <c r="E1303" s="522"/>
      <c r="F1303" s="787"/>
      <c r="G1303" s="924"/>
      <c r="H1303" s="922"/>
      <c r="I1303" s="923"/>
      <c r="J1303" s="198"/>
      <c r="K1303" s="31"/>
      <c r="L1303" s="43"/>
      <c r="M1303" s="21"/>
      <c r="N1303" s="21"/>
      <c r="O1303" s="21"/>
      <c r="P1303" s="21"/>
      <c r="Q1303" s="21"/>
      <c r="R1303" s="21"/>
      <c r="S1303" s="21"/>
      <c r="T1303" s="21"/>
      <c r="U1303" s="21"/>
      <c r="V1303" s="21"/>
    </row>
    <row r="1304" spans="1:22" s="2" customFormat="1" ht="30" customHeight="1" x14ac:dyDescent="0.25">
      <c r="A1304" s="627">
        <f>A1299+1</f>
        <v>370</v>
      </c>
      <c r="B1304" s="314" t="s">
        <v>41</v>
      </c>
      <c r="C1304" s="319" t="s">
        <v>2383</v>
      </c>
      <c r="D1304" s="512">
        <f>D1302+1</f>
        <v>1673</v>
      </c>
      <c r="E1304" s="427" t="s">
        <v>171</v>
      </c>
      <c r="F1304" s="693" t="s">
        <v>263</v>
      </c>
      <c r="G1304" s="924"/>
      <c r="H1304" s="922"/>
      <c r="I1304" s="923"/>
      <c r="J1304" s="198" t="str">
        <f>IF(LEN(F1304)&gt;0,"","Belum Terisi")</f>
        <v/>
      </c>
      <c r="K1304" s="31"/>
      <c r="L1304" s="43"/>
      <c r="M1304" s="21"/>
      <c r="N1304" s="847" t="s">
        <v>668</v>
      </c>
      <c r="O1304" s="21"/>
      <c r="P1304" s="21"/>
      <c r="Q1304" s="21"/>
      <c r="R1304" s="21"/>
      <c r="S1304" s="21"/>
      <c r="T1304" s="21"/>
      <c r="U1304" s="21"/>
      <c r="V1304" s="21"/>
    </row>
    <row r="1305" spans="1:22" s="2" customFormat="1" ht="30" customHeight="1" x14ac:dyDescent="0.25">
      <c r="A1305" s="625"/>
      <c r="B1305" s="314" t="s">
        <v>139</v>
      </c>
      <c r="C1305" s="319" t="s">
        <v>2384</v>
      </c>
      <c r="D1305" s="512">
        <f t="shared" si="101"/>
        <v>1674</v>
      </c>
      <c r="E1305" s="427" t="s">
        <v>171</v>
      </c>
      <c r="F1305" s="694" t="s">
        <v>263</v>
      </c>
      <c r="G1305" s="924"/>
      <c r="H1305" s="922"/>
      <c r="I1305" s="923"/>
      <c r="J1305" s="198" t="str">
        <f>IF(F1305="","Belum Terisi",IF(AND($F$1304="Tidak Ada",F1305="Ada"),"CEK",""))</f>
        <v/>
      </c>
      <c r="K1305" s="31" t="str">
        <f>IF(J1305="CEK",$F$1304&amp;" Fasilitas Mitigasi Bencana Alam Berupa Jalur Evakuasi","")</f>
        <v/>
      </c>
      <c r="L1305" s="43"/>
      <c r="M1305" s="21"/>
      <c r="N1305" s="847" t="s">
        <v>668</v>
      </c>
      <c r="O1305" s="21"/>
      <c r="P1305" s="21"/>
      <c r="Q1305" s="21"/>
      <c r="R1305" s="21"/>
      <c r="S1305" s="21"/>
      <c r="T1305" s="21"/>
      <c r="U1305" s="21"/>
      <c r="V1305" s="21"/>
    </row>
    <row r="1306" spans="1:22" s="2" customFormat="1" ht="30" customHeight="1" x14ac:dyDescent="0.25">
      <c r="A1306" s="625"/>
      <c r="B1306" s="314" t="s">
        <v>251</v>
      </c>
      <c r="C1306" s="319" t="s">
        <v>2385</v>
      </c>
      <c r="D1306" s="512">
        <f t="shared" si="101"/>
        <v>1675</v>
      </c>
      <c r="E1306" s="427" t="s">
        <v>171</v>
      </c>
      <c r="F1306" s="694" t="s">
        <v>263</v>
      </c>
      <c r="G1306" s="924"/>
      <c r="H1306" s="922"/>
      <c r="I1306" s="923"/>
      <c r="J1306" s="198" t="str">
        <f>IF(F1306="","Belum Terisi",IF(AND($F$1304="Tidak Ada",F1306="Ada"),"CEK",""))</f>
        <v/>
      </c>
      <c r="K1306" s="31" t="str">
        <f>IF(J1306="CEK",$F$1304&amp;" Fasilitas Mitigasi Bencana Alam Berupa Jalur Evakuasi","")</f>
        <v/>
      </c>
      <c r="L1306" s="43"/>
      <c r="M1306" s="21"/>
      <c r="N1306" s="847" t="s">
        <v>668</v>
      </c>
      <c r="O1306" s="21"/>
      <c r="P1306" s="21"/>
      <c r="Q1306" s="21"/>
      <c r="R1306" s="21"/>
      <c r="S1306" s="21"/>
      <c r="T1306" s="21"/>
      <c r="U1306" s="21"/>
      <c r="V1306" s="21"/>
    </row>
    <row r="1307" spans="1:22" s="2" customFormat="1" ht="40.15" customHeight="1" x14ac:dyDescent="0.25">
      <c r="A1307" s="626"/>
      <c r="B1307" s="314" t="s">
        <v>255</v>
      </c>
      <c r="C1307" s="319" t="s">
        <v>2386</v>
      </c>
      <c r="D1307" s="512">
        <f t="shared" si="101"/>
        <v>1676</v>
      </c>
      <c r="E1307" s="427" t="s">
        <v>171</v>
      </c>
      <c r="F1307" s="697" t="s">
        <v>263</v>
      </c>
      <c r="G1307" s="924"/>
      <c r="H1307" s="922"/>
      <c r="I1307" s="923"/>
      <c r="J1307" s="198" t="str">
        <f>IF(F1307="","Belum Terisi",IF(AND($F$1304="Tidak Ada",F1307="Ada"),"CEK",""))</f>
        <v/>
      </c>
      <c r="K1307" s="31" t="str">
        <f>IF(J1307="CEK",$F$1304&amp;" Fasilitas Mitigasi Bencana Alam Berupa Jalur Evakuasi","")</f>
        <v/>
      </c>
      <c r="L1307" s="43"/>
      <c r="M1307" s="21"/>
      <c r="N1307" s="847" t="s">
        <v>668</v>
      </c>
      <c r="O1307" s="21"/>
      <c r="P1307" s="21"/>
      <c r="Q1307" s="21"/>
      <c r="R1307" s="21"/>
      <c r="S1307" s="21"/>
      <c r="T1307" s="21"/>
      <c r="U1307" s="21"/>
      <c r="V1307" s="21"/>
    </row>
    <row r="1308" spans="1:22" s="2" customFormat="1" ht="30" customHeight="1" x14ac:dyDescent="0.25">
      <c r="A1308" s="623" t="s">
        <v>767</v>
      </c>
      <c r="B1308" s="322"/>
      <c r="C1308" s="310"/>
      <c r="D1308" s="427"/>
      <c r="E1308" s="522"/>
      <c r="F1308" s="787"/>
      <c r="G1308" s="924"/>
      <c r="H1308" s="922"/>
      <c r="I1308" s="923"/>
      <c r="J1308" s="198"/>
      <c r="K1308" s="31"/>
      <c r="L1308" s="43"/>
      <c r="M1308" s="21"/>
      <c r="N1308" s="847" t="s">
        <v>668</v>
      </c>
      <c r="O1308" s="21"/>
      <c r="P1308" s="21"/>
      <c r="Q1308" s="21"/>
      <c r="R1308" s="21"/>
      <c r="S1308" s="21"/>
      <c r="T1308" s="21"/>
      <c r="U1308" s="21"/>
      <c r="V1308" s="21"/>
    </row>
    <row r="1309" spans="1:22" s="2" customFormat="1" ht="30" customHeight="1" x14ac:dyDescent="0.25">
      <c r="A1309" s="627">
        <f>A1304+1</f>
        <v>371</v>
      </c>
      <c r="B1309" s="314" t="s">
        <v>41</v>
      </c>
      <c r="C1309" s="319" t="s">
        <v>2387</v>
      </c>
      <c r="D1309" s="512">
        <f>D1307+1</f>
        <v>1677</v>
      </c>
      <c r="E1309" s="427" t="s">
        <v>171</v>
      </c>
      <c r="F1309" s="693" t="s">
        <v>263</v>
      </c>
      <c r="G1309" s="924"/>
      <c r="H1309" s="922"/>
      <c r="I1309" s="923"/>
      <c r="J1309" s="198" t="str">
        <f>IF(LEN(F1309)&gt;0,"","Belum Terisi")</f>
        <v/>
      </c>
      <c r="K1309" s="31"/>
      <c r="L1309" s="43"/>
      <c r="M1309" s="21"/>
      <c r="N1309" s="847" t="s">
        <v>668</v>
      </c>
      <c r="O1309" s="21"/>
      <c r="P1309" s="21"/>
      <c r="Q1309" s="21"/>
      <c r="R1309" s="21"/>
      <c r="S1309" s="21"/>
      <c r="T1309" s="21"/>
      <c r="U1309" s="21"/>
      <c r="V1309" s="21"/>
    </row>
    <row r="1310" spans="1:22" s="2" customFormat="1" ht="30" customHeight="1" x14ac:dyDescent="0.25">
      <c r="A1310" s="625"/>
      <c r="B1310" s="314" t="s">
        <v>139</v>
      </c>
      <c r="C1310" s="319" t="s">
        <v>2388</v>
      </c>
      <c r="D1310" s="512">
        <f t="shared" si="101"/>
        <v>1678</v>
      </c>
      <c r="E1310" s="427" t="s">
        <v>171</v>
      </c>
      <c r="F1310" s="694" t="s">
        <v>263</v>
      </c>
      <c r="G1310" s="924"/>
      <c r="H1310" s="922"/>
      <c r="I1310" s="923"/>
      <c r="J1310" s="198" t="str">
        <f>IF(F1310="","Belum Terisi",IF(AND($F$1309="Tidak Ada",F1310="Ada"),"CEK",""))</f>
        <v/>
      </c>
      <c r="K1310" s="31" t="str">
        <f>IF(J1310="CEK",$F$1309&amp;" Tempat Pengungsian Bencana di Desa","")</f>
        <v/>
      </c>
      <c r="L1310" s="43"/>
      <c r="M1310" s="21"/>
      <c r="N1310" s="847" t="s">
        <v>668</v>
      </c>
      <c r="O1310" s="21"/>
      <c r="P1310" s="21"/>
      <c r="Q1310" s="21"/>
      <c r="R1310" s="21"/>
      <c r="S1310" s="21"/>
      <c r="T1310" s="21"/>
      <c r="U1310" s="21"/>
      <c r="V1310" s="21"/>
    </row>
    <row r="1311" spans="1:22" s="2" customFormat="1" ht="40.15" customHeight="1" x14ac:dyDescent="0.25">
      <c r="A1311" s="625"/>
      <c r="B1311" s="314" t="s">
        <v>251</v>
      </c>
      <c r="C1311" s="319" t="s">
        <v>2389</v>
      </c>
      <c r="D1311" s="512">
        <f t="shared" si="101"/>
        <v>1679</v>
      </c>
      <c r="E1311" s="427" t="s">
        <v>171</v>
      </c>
      <c r="F1311" s="694" t="s">
        <v>263</v>
      </c>
      <c r="G1311" s="924"/>
      <c r="H1311" s="922"/>
      <c r="I1311" s="923"/>
      <c r="J1311" s="198" t="str">
        <f>IF(F1311="","Belum Terisi",IF(AND($F$1309="Tidak Ada",F1311="Ada"),"CEK",""))</f>
        <v/>
      </c>
      <c r="K1311" s="31" t="str">
        <f>IF(J1311="CEK",$F$1309&amp;" Tempat Pengungsian Bencana di Desa","")</f>
        <v/>
      </c>
      <c r="L1311" s="43"/>
      <c r="M1311" s="21"/>
      <c r="N1311" s="847" t="s">
        <v>668</v>
      </c>
      <c r="O1311" s="21"/>
      <c r="P1311" s="21"/>
      <c r="Q1311" s="21"/>
      <c r="R1311" s="21"/>
      <c r="S1311" s="21"/>
      <c r="T1311" s="21"/>
      <c r="U1311" s="21"/>
      <c r="V1311" s="21"/>
    </row>
    <row r="1312" spans="1:22" s="2" customFormat="1" ht="40.15" customHeight="1" x14ac:dyDescent="0.25">
      <c r="A1312" s="626"/>
      <c r="B1312" s="314" t="s">
        <v>255</v>
      </c>
      <c r="C1312" s="319" t="s">
        <v>2390</v>
      </c>
      <c r="D1312" s="512">
        <f t="shared" si="101"/>
        <v>1680</v>
      </c>
      <c r="E1312" s="427" t="s">
        <v>171</v>
      </c>
      <c r="F1312" s="697" t="s">
        <v>263</v>
      </c>
      <c r="G1312" s="924"/>
      <c r="H1312" s="922"/>
      <c r="I1312" s="923"/>
      <c r="J1312" s="198" t="str">
        <f>IF(F1312="","Belum Terisi",IF(AND($F$1309="Tidak Ada",F1312="Ada"),"CEK",""))</f>
        <v/>
      </c>
      <c r="K1312" s="31" t="str">
        <f>IF(J1312="CEK",$F$1309&amp;" Tempat Pengungsian Bencana di Desa","")</f>
        <v/>
      </c>
      <c r="L1312" s="43"/>
      <c r="M1312" s="21"/>
      <c r="N1312" s="847" t="s">
        <v>668</v>
      </c>
      <c r="O1312" s="21"/>
      <c r="P1312" s="21"/>
      <c r="Q1312" s="21"/>
      <c r="R1312" s="21"/>
      <c r="S1312" s="21"/>
      <c r="T1312" s="21"/>
      <c r="U1312" s="21"/>
      <c r="V1312" s="21"/>
    </row>
    <row r="1313" spans="1:22" s="2" customFormat="1" ht="30" customHeight="1" x14ac:dyDescent="0.25">
      <c r="A1313" s="623" t="s">
        <v>2391</v>
      </c>
      <c r="B1313" s="322"/>
      <c r="C1313" s="310"/>
      <c r="D1313" s="427"/>
      <c r="E1313" s="522"/>
      <c r="F1313" s="787"/>
      <c r="G1313" s="924"/>
      <c r="H1313" s="922"/>
      <c r="I1313" s="923"/>
      <c r="J1313" s="198"/>
      <c r="K1313" s="31"/>
      <c r="L1313" s="43"/>
      <c r="M1313" s="21"/>
      <c r="N1313" s="847" t="s">
        <v>668</v>
      </c>
      <c r="O1313" s="21"/>
      <c r="P1313" s="21"/>
      <c r="Q1313" s="21"/>
      <c r="R1313" s="21"/>
      <c r="S1313" s="21"/>
      <c r="T1313" s="21"/>
      <c r="U1313" s="21"/>
      <c r="V1313" s="21"/>
    </row>
    <row r="1314" spans="1:22" s="2" customFormat="1" ht="30" customHeight="1" x14ac:dyDescent="0.25">
      <c r="A1314" s="627">
        <f>A1309+1</f>
        <v>372</v>
      </c>
      <c r="B1314" s="314" t="s">
        <v>41</v>
      </c>
      <c r="C1314" s="319" t="s">
        <v>2693</v>
      </c>
      <c r="D1314" s="512">
        <f>D1312+1</f>
        <v>1681</v>
      </c>
      <c r="E1314" s="427" t="s">
        <v>171</v>
      </c>
      <c r="F1314" s="693" t="s">
        <v>263</v>
      </c>
      <c r="G1314" s="924"/>
      <c r="H1314" s="922"/>
      <c r="I1314" s="923"/>
      <c r="J1314" s="198" t="str">
        <f>IF(LEN(F1314)&gt;0,"","Belum Terisi")</f>
        <v/>
      </c>
      <c r="K1314" s="31"/>
      <c r="L1314" s="43"/>
      <c r="M1314" s="21"/>
      <c r="N1314" s="847" t="s">
        <v>668</v>
      </c>
      <c r="O1314" s="21"/>
      <c r="P1314" s="21"/>
      <c r="Q1314" s="21"/>
      <c r="R1314" s="21"/>
      <c r="S1314" s="21"/>
      <c r="T1314" s="21"/>
      <c r="U1314" s="21"/>
      <c r="V1314" s="21"/>
    </row>
    <row r="1315" spans="1:22" s="2" customFormat="1" ht="30" customHeight="1" x14ac:dyDescent="0.25">
      <c r="A1315" s="625"/>
      <c r="B1315" s="314" t="s">
        <v>139</v>
      </c>
      <c r="C1315" s="319" t="s">
        <v>2690</v>
      </c>
      <c r="D1315" s="512">
        <f t="shared" si="101"/>
        <v>1682</v>
      </c>
      <c r="E1315" s="427" t="s">
        <v>171</v>
      </c>
      <c r="F1315" s="694" t="s">
        <v>263</v>
      </c>
      <c r="G1315" s="924"/>
      <c r="H1315" s="922"/>
      <c r="I1315" s="923"/>
      <c r="J1315" s="198" t="str">
        <f>IF(F1315="","Belum Terisi",IF(AND($F$1314="Tidak Ada",F1315="Ada"),"CEK",""))</f>
        <v/>
      </c>
      <c r="K1315" s="31" t="str">
        <f>IF(J1315="CEK",$F$1314&amp;" Uji Kesiapsiagaan/ Simulasi Menghadapi Bencana","")</f>
        <v/>
      </c>
      <c r="L1315" s="43"/>
      <c r="M1315" s="21"/>
      <c r="N1315" s="847" t="s">
        <v>668</v>
      </c>
      <c r="O1315" s="21"/>
      <c r="P1315" s="21"/>
      <c r="Q1315" s="21"/>
      <c r="R1315" s="21"/>
      <c r="S1315" s="21"/>
      <c r="T1315" s="21"/>
      <c r="U1315" s="21"/>
      <c r="V1315" s="21"/>
    </row>
    <row r="1316" spans="1:22" s="2" customFormat="1" ht="30" customHeight="1" x14ac:dyDescent="0.25">
      <c r="A1316" s="625"/>
      <c r="B1316" s="314" t="s">
        <v>251</v>
      </c>
      <c r="C1316" s="319" t="s">
        <v>2691</v>
      </c>
      <c r="D1316" s="512">
        <f t="shared" si="101"/>
        <v>1683</v>
      </c>
      <c r="E1316" s="427" t="s">
        <v>171</v>
      </c>
      <c r="F1316" s="694" t="s">
        <v>263</v>
      </c>
      <c r="G1316" s="924"/>
      <c r="H1316" s="922"/>
      <c r="I1316" s="923"/>
      <c r="J1316" s="198" t="str">
        <f>IF(F1316="","Belum Terisi",IF(AND($F$1314="Tidak Ada",F1316="Ada"),"CEK",""))</f>
        <v/>
      </c>
      <c r="K1316" s="31" t="str">
        <f>IF(J1316="CEK",$F$1314&amp;" Uji Kesiapsiagaan/ Simulasi Menghadapi Bencana","")</f>
        <v/>
      </c>
      <c r="L1316" s="43"/>
      <c r="M1316" s="21"/>
      <c r="N1316" s="847" t="s">
        <v>668</v>
      </c>
      <c r="O1316" s="21"/>
      <c r="P1316" s="21"/>
      <c r="Q1316" s="21"/>
      <c r="R1316" s="21"/>
      <c r="S1316" s="21"/>
      <c r="T1316" s="21"/>
      <c r="U1316" s="21"/>
      <c r="V1316" s="21"/>
    </row>
    <row r="1317" spans="1:22" s="2" customFormat="1" ht="40.15" customHeight="1" x14ac:dyDescent="0.25">
      <c r="A1317" s="626"/>
      <c r="B1317" s="314" t="s">
        <v>255</v>
      </c>
      <c r="C1317" s="319" t="s">
        <v>2692</v>
      </c>
      <c r="D1317" s="512">
        <f t="shared" si="101"/>
        <v>1684</v>
      </c>
      <c r="E1317" s="427" t="s">
        <v>171</v>
      </c>
      <c r="F1317" s="697" t="s">
        <v>263</v>
      </c>
      <c r="G1317" s="924"/>
      <c r="H1317" s="922"/>
      <c r="I1317" s="923"/>
      <c r="J1317" s="198" t="str">
        <f>IF(F1317="","Belum Terisi",IF(AND($F$1314="Tidak Ada",F1317="Ada"),"CEK",""))</f>
        <v/>
      </c>
      <c r="K1317" s="31" t="str">
        <f>IF(J1317="CEK",$F$1314&amp;" Uji Kesiapsiagaan/ Simulasi Menghadapi Bencana","")</f>
        <v/>
      </c>
      <c r="L1317" s="43"/>
      <c r="M1317" s="21"/>
      <c r="N1317" s="847" t="s">
        <v>668</v>
      </c>
      <c r="O1317" s="21"/>
      <c r="P1317" s="21"/>
      <c r="Q1317" s="21"/>
      <c r="R1317" s="21"/>
      <c r="S1317" s="21"/>
      <c r="T1317" s="21"/>
      <c r="U1317" s="21"/>
      <c r="V1317" s="21"/>
    </row>
    <row r="1318" spans="1:22" s="2" customFormat="1" ht="30" customHeight="1" x14ac:dyDescent="0.25">
      <c r="A1318" s="627">
        <f>A1314+1</f>
        <v>373</v>
      </c>
      <c r="B1318" s="314" t="s">
        <v>41</v>
      </c>
      <c r="C1318" s="319" t="s">
        <v>2458</v>
      </c>
      <c r="D1318" s="512">
        <f t="shared" si="101"/>
        <v>1685</v>
      </c>
      <c r="E1318" s="463" t="s">
        <v>171</v>
      </c>
      <c r="F1318" s="693" t="s">
        <v>263</v>
      </c>
      <c r="G1318" s="924"/>
      <c r="H1318" s="922"/>
      <c r="I1318" s="923"/>
      <c r="J1318" s="198" t="str">
        <f>IF(LEN(F1318)&gt;0,"","Belum Terisi")</f>
        <v/>
      </c>
      <c r="K1318" s="31"/>
      <c r="L1318" s="43"/>
      <c r="M1318" s="21"/>
      <c r="N1318" s="847"/>
      <c r="O1318" s="21"/>
      <c r="P1318" s="847" t="s">
        <v>670</v>
      </c>
      <c r="Q1318" s="21"/>
      <c r="R1318" s="21"/>
      <c r="S1318" s="21"/>
      <c r="T1318" s="21"/>
      <c r="U1318" s="21"/>
      <c r="V1318" s="21"/>
    </row>
    <row r="1319" spans="1:22" s="2" customFormat="1" ht="30" customHeight="1" x14ac:dyDescent="0.25">
      <c r="A1319" s="625"/>
      <c r="B1319" s="314" t="s">
        <v>139</v>
      </c>
      <c r="C1319" s="319" t="s">
        <v>2392</v>
      </c>
      <c r="D1319" s="512">
        <f t="shared" si="101"/>
        <v>1686</v>
      </c>
      <c r="E1319" s="463" t="s">
        <v>171</v>
      </c>
      <c r="F1319" s="694" t="s">
        <v>263</v>
      </c>
      <c r="G1319" s="924"/>
      <c r="H1319" s="922"/>
      <c r="I1319" s="923"/>
      <c r="J1319" s="198" t="str">
        <f>IF(LEN(F1319)&gt;0,"","Belum Terisi")</f>
        <v/>
      </c>
      <c r="K1319" s="31"/>
      <c r="L1319" s="43"/>
      <c r="M1319" s="21"/>
      <c r="N1319" s="847" t="s">
        <v>668</v>
      </c>
      <c r="O1319" s="21"/>
      <c r="P1319" s="21"/>
      <c r="Q1319" s="21"/>
      <c r="R1319" s="21"/>
      <c r="S1319" s="21"/>
      <c r="T1319" s="21"/>
      <c r="U1319" s="21"/>
      <c r="V1319" s="21"/>
    </row>
    <row r="1320" spans="1:22" s="2" customFormat="1" ht="30" customHeight="1" x14ac:dyDescent="0.25">
      <c r="A1320" s="625"/>
      <c r="B1320" s="314" t="s">
        <v>251</v>
      </c>
      <c r="C1320" s="319" t="s">
        <v>2689</v>
      </c>
      <c r="D1320" s="512">
        <f t="shared" si="101"/>
        <v>1687</v>
      </c>
      <c r="E1320" s="463" t="s">
        <v>171</v>
      </c>
      <c r="F1320" s="694" t="s">
        <v>263</v>
      </c>
      <c r="G1320" s="924"/>
      <c r="H1320" s="922"/>
      <c r="I1320" s="923"/>
      <c r="J1320" s="198" t="str">
        <f>IF(F1320="","Belum Terisi",IF(AND($F$1319="Tidak Ada",F1320="Ada"),"CEK",""))</f>
        <v/>
      </c>
      <c r="K1320" s="31" t="str">
        <f>IF(J1320="CEK",$F$1319&amp;" Kegiatan Mitigasi Bencana","")</f>
        <v/>
      </c>
      <c r="L1320" s="43"/>
      <c r="M1320" s="21"/>
      <c r="N1320" s="847" t="s">
        <v>668</v>
      </c>
      <c r="O1320" s="21"/>
      <c r="P1320" s="21"/>
      <c r="Q1320" s="21"/>
      <c r="R1320" s="21"/>
      <c r="S1320" s="21"/>
      <c r="T1320" s="21"/>
      <c r="U1320" s="21"/>
      <c r="V1320" s="21"/>
    </row>
    <row r="1321" spans="1:22" s="2" customFormat="1" ht="40.15" customHeight="1" x14ac:dyDescent="0.25">
      <c r="A1321" s="625"/>
      <c r="B1321" s="314" t="s">
        <v>255</v>
      </c>
      <c r="C1321" s="319" t="s">
        <v>2393</v>
      </c>
      <c r="D1321" s="512">
        <f t="shared" si="101"/>
        <v>1688</v>
      </c>
      <c r="E1321" s="463" t="s">
        <v>171</v>
      </c>
      <c r="F1321" s="694" t="s">
        <v>263</v>
      </c>
      <c r="G1321" s="924"/>
      <c r="H1321" s="922"/>
      <c r="I1321" s="923"/>
      <c r="J1321" s="198" t="str">
        <f>IF(F1321="","Belum Terisi",IF(AND($F$1319="Tidak Ada",F1321="Ada"),"CEK",""))</f>
        <v/>
      </c>
      <c r="K1321" s="31" t="str">
        <f>IF(J1321="CEK",$F$1319&amp;" Kegiatan Mitigasi Bencana","")</f>
        <v/>
      </c>
      <c r="L1321" s="43"/>
      <c r="M1321" s="21"/>
      <c r="N1321" s="847" t="s">
        <v>668</v>
      </c>
      <c r="O1321" s="21"/>
      <c r="P1321" s="21"/>
      <c r="Q1321" s="21"/>
      <c r="R1321" s="21"/>
      <c r="S1321" s="21"/>
      <c r="T1321" s="21"/>
      <c r="U1321" s="21"/>
      <c r="V1321" s="21"/>
    </row>
    <row r="1322" spans="1:22" s="2" customFormat="1" ht="30" customHeight="1" x14ac:dyDescent="0.25">
      <c r="A1322" s="626"/>
      <c r="B1322" s="314" t="s">
        <v>252</v>
      </c>
      <c r="C1322" s="319" t="s">
        <v>2394</v>
      </c>
      <c r="D1322" s="512">
        <f t="shared" si="101"/>
        <v>1689</v>
      </c>
      <c r="E1322" s="463" t="s">
        <v>171</v>
      </c>
      <c r="F1322" s="697" t="s">
        <v>263</v>
      </c>
      <c r="G1322" s="924"/>
      <c r="H1322" s="922"/>
      <c r="I1322" s="923"/>
      <c r="J1322" s="198" t="str">
        <f>IF(F1322="","Belum Terisi",IF(AND($F$1319="Tidak Ada",F1322="Ada"),"CEK",""))</f>
        <v/>
      </c>
      <c r="K1322" s="31" t="str">
        <f>IF(J1322="CEK",$F$1319&amp;" Kegiatan Mitigasi Bencana","")</f>
        <v/>
      </c>
      <c r="L1322" s="43"/>
      <c r="M1322" s="21"/>
      <c r="N1322" s="847" t="s">
        <v>668</v>
      </c>
      <c r="O1322" s="21"/>
      <c r="P1322" s="21"/>
      <c r="Q1322" s="21"/>
      <c r="R1322" s="21"/>
      <c r="S1322" s="21"/>
      <c r="T1322" s="21"/>
      <c r="U1322" s="21"/>
      <c r="V1322" s="21"/>
    </row>
    <row r="1323" spans="1:22" s="2" customFormat="1" ht="30" customHeight="1" x14ac:dyDescent="0.25">
      <c r="A1323" s="623" t="s">
        <v>2459</v>
      </c>
      <c r="B1323" s="322"/>
      <c r="C1323" s="310"/>
      <c r="D1323" s="463"/>
      <c r="E1323" s="522"/>
      <c r="F1323" s="787"/>
      <c r="G1323" s="924"/>
      <c r="H1323" s="922"/>
      <c r="I1323" s="923"/>
      <c r="J1323" s="198"/>
      <c r="K1323" s="31"/>
      <c r="L1323" s="43"/>
      <c r="M1323" s="21"/>
      <c r="N1323" s="847"/>
      <c r="O1323" s="21"/>
      <c r="P1323" s="21"/>
      <c r="Q1323" s="21"/>
      <c r="R1323" s="21"/>
      <c r="S1323" s="21"/>
      <c r="T1323" s="21"/>
      <c r="U1323" s="21"/>
      <c r="V1323" s="21"/>
    </row>
    <row r="1324" spans="1:22" s="2" customFormat="1" ht="30" customHeight="1" x14ac:dyDescent="0.25">
      <c r="A1324" s="627">
        <f>A1318+1</f>
        <v>374</v>
      </c>
      <c r="B1324" s="314" t="s">
        <v>41</v>
      </c>
      <c r="C1324" s="319" t="s">
        <v>2395</v>
      </c>
      <c r="D1324" s="512">
        <f>D1322+1</f>
        <v>1690</v>
      </c>
      <c r="E1324" s="463" t="s">
        <v>171</v>
      </c>
      <c r="F1324" s="693" t="s">
        <v>285</v>
      </c>
      <c r="G1324" s="924"/>
      <c r="H1324" s="922"/>
      <c r="I1324" s="923"/>
      <c r="J1324" s="198" t="str">
        <f>IF(LEN(F1324)&gt;0,"","Belum Terisi")</f>
        <v/>
      </c>
      <c r="K1324" s="31"/>
      <c r="L1324" s="43"/>
      <c r="M1324" s="21"/>
      <c r="N1324" s="847" t="s">
        <v>668</v>
      </c>
      <c r="O1324" s="21"/>
      <c r="P1324" s="21"/>
      <c r="Q1324" s="21"/>
      <c r="R1324" s="21"/>
      <c r="S1324" s="21"/>
      <c r="T1324" s="21"/>
      <c r="U1324" s="21"/>
      <c r="V1324" s="21"/>
    </row>
    <row r="1325" spans="1:22" s="2" customFormat="1" ht="30" customHeight="1" x14ac:dyDescent="0.25">
      <c r="A1325" s="625"/>
      <c r="B1325" s="314" t="s">
        <v>139</v>
      </c>
      <c r="C1325" s="319" t="s">
        <v>2396</v>
      </c>
      <c r="D1325" s="512">
        <f t="shared" si="101"/>
        <v>1691</v>
      </c>
      <c r="E1325" s="463" t="s">
        <v>171</v>
      </c>
      <c r="F1325" s="694" t="s">
        <v>285</v>
      </c>
      <c r="G1325" s="924"/>
      <c r="H1325" s="922"/>
      <c r="I1325" s="923"/>
      <c r="J1325" s="198" t="str">
        <f>IF(F1325="","Belum Terisi",IF(AND($F$1324="Tidak Ada",F1325="Ada"),"CEK",""))</f>
        <v/>
      </c>
      <c r="K1325" s="31" t="str">
        <f>IF(J1325="CEK",$F$1324&amp;" Rencana Penanggulangan Bencana","")</f>
        <v/>
      </c>
      <c r="L1325" s="43"/>
      <c r="M1325" s="21"/>
      <c r="N1325" s="847" t="s">
        <v>668</v>
      </c>
      <c r="O1325" s="21"/>
      <c r="P1325" s="21"/>
      <c r="Q1325" s="21"/>
      <c r="R1325" s="21"/>
      <c r="S1325" s="21"/>
      <c r="T1325" s="21"/>
      <c r="U1325" s="21"/>
      <c r="V1325" s="21"/>
    </row>
    <row r="1326" spans="1:22" s="2" customFormat="1" ht="40.15" customHeight="1" x14ac:dyDescent="0.25">
      <c r="A1326" s="625"/>
      <c r="B1326" s="314" t="s">
        <v>251</v>
      </c>
      <c r="C1326" s="319" t="s">
        <v>2397</v>
      </c>
      <c r="D1326" s="512">
        <f t="shared" si="101"/>
        <v>1692</v>
      </c>
      <c r="E1326" s="463" t="s">
        <v>171</v>
      </c>
      <c r="F1326" s="694" t="s">
        <v>285</v>
      </c>
      <c r="G1326" s="924"/>
      <c r="H1326" s="922"/>
      <c r="I1326" s="923"/>
      <c r="J1326" s="198" t="str">
        <f>IF(F1326="","Belum Terisi",IF(AND($F$1324="Tidak Ada",F1326="Ada"),"CEK",""))</f>
        <v/>
      </c>
      <c r="K1326" s="31" t="str">
        <f>IF(J1326="CEK",$F$1324&amp;" Rencana Penanggulangan Bencana","")</f>
        <v/>
      </c>
      <c r="L1326" s="43"/>
      <c r="M1326" s="21"/>
      <c r="N1326" s="847" t="s">
        <v>668</v>
      </c>
      <c r="O1326" s="21"/>
      <c r="P1326" s="21"/>
      <c r="Q1326" s="21"/>
      <c r="R1326" s="21"/>
      <c r="S1326" s="21"/>
      <c r="T1326" s="21"/>
      <c r="U1326" s="21"/>
      <c r="V1326" s="21"/>
    </row>
    <row r="1327" spans="1:22" s="2" customFormat="1" ht="40.15" customHeight="1" x14ac:dyDescent="0.25">
      <c r="A1327" s="626"/>
      <c r="B1327" s="314" t="s">
        <v>255</v>
      </c>
      <c r="C1327" s="319" t="s">
        <v>2398</v>
      </c>
      <c r="D1327" s="512">
        <f t="shared" si="101"/>
        <v>1693</v>
      </c>
      <c r="E1327" s="463" t="s">
        <v>171</v>
      </c>
      <c r="F1327" s="697" t="s">
        <v>285</v>
      </c>
      <c r="G1327" s="924"/>
      <c r="H1327" s="922"/>
      <c r="I1327" s="923"/>
      <c r="J1327" s="198" t="str">
        <f>IF(F1327="","Belum Terisi",IF(AND($F$1324="Tidak Ada",F1327="Ada"),"CEK",""))</f>
        <v/>
      </c>
      <c r="K1327" s="31" t="str">
        <f>IF(J1327="CEK",$F$1324&amp;" Rencana Penanggulangan Bencana","")</f>
        <v/>
      </c>
      <c r="L1327" s="43"/>
      <c r="M1327" s="21"/>
      <c r="N1327" s="847" t="s">
        <v>668</v>
      </c>
      <c r="O1327" s="21"/>
      <c r="P1327" s="21"/>
      <c r="Q1327" s="21"/>
      <c r="R1327" s="21"/>
      <c r="S1327" s="21"/>
      <c r="T1327" s="21"/>
      <c r="U1327" s="21"/>
      <c r="V1327" s="21"/>
    </row>
    <row r="1328" spans="1:22" s="2" customFormat="1" ht="30" customHeight="1" x14ac:dyDescent="0.25">
      <c r="A1328" s="623" t="s">
        <v>876</v>
      </c>
      <c r="B1328" s="322"/>
      <c r="C1328" s="310"/>
      <c r="D1328" s="523"/>
      <c r="E1328" s="523"/>
      <c r="F1328" s="787"/>
      <c r="G1328" s="924"/>
      <c r="H1328" s="922"/>
      <c r="I1328" s="923"/>
      <c r="J1328" s="198"/>
      <c r="K1328" s="31"/>
      <c r="L1328" s="43"/>
      <c r="M1328" s="21"/>
      <c r="N1328" s="847"/>
      <c r="O1328" s="21"/>
      <c r="P1328" s="21"/>
      <c r="Q1328" s="21"/>
      <c r="R1328" s="21"/>
      <c r="S1328" s="21"/>
      <c r="T1328" s="21"/>
      <c r="U1328" s="21"/>
      <c r="V1328" s="21"/>
    </row>
    <row r="1329" spans="1:22" s="2" customFormat="1" ht="30" customHeight="1" x14ac:dyDescent="0.25">
      <c r="A1329" s="627">
        <f>A1324+1</f>
        <v>375</v>
      </c>
      <c r="B1329" s="314" t="s">
        <v>41</v>
      </c>
      <c r="C1329" s="319" t="s">
        <v>2399</v>
      </c>
      <c r="D1329" s="512">
        <f>D1327+1</f>
        <v>1694</v>
      </c>
      <c r="E1329" s="463" t="s">
        <v>171</v>
      </c>
      <c r="F1329" s="693" t="s">
        <v>285</v>
      </c>
      <c r="G1329" s="924"/>
      <c r="H1329" s="922"/>
      <c r="I1329" s="923"/>
      <c r="J1329" s="198" t="str">
        <f>IF(LEN(F1329)&gt;0,"","Belum Terisi")</f>
        <v/>
      </c>
      <c r="K1329" s="31"/>
      <c r="L1329" s="43"/>
      <c r="M1329" s="21"/>
      <c r="N1329" s="847" t="s">
        <v>668</v>
      </c>
      <c r="O1329" s="21"/>
      <c r="P1329" s="21"/>
      <c r="Q1329" s="21"/>
      <c r="R1329" s="21"/>
      <c r="S1329" s="21"/>
      <c r="T1329" s="21"/>
      <c r="U1329" s="21"/>
      <c r="V1329" s="21"/>
    </row>
    <row r="1330" spans="1:22" s="2" customFormat="1" ht="30" customHeight="1" x14ac:dyDescent="0.25">
      <c r="A1330" s="625"/>
      <c r="B1330" s="314" t="s">
        <v>139</v>
      </c>
      <c r="C1330" s="319" t="s">
        <v>2400</v>
      </c>
      <c r="D1330" s="512">
        <f t="shared" ref="D1330:D1362" si="102">D1329+1</f>
        <v>1695</v>
      </c>
      <c r="E1330" s="463" t="s">
        <v>171</v>
      </c>
      <c r="F1330" s="694" t="s">
        <v>285</v>
      </c>
      <c r="G1330" s="924"/>
      <c r="H1330" s="922"/>
      <c r="I1330" s="923"/>
      <c r="J1330" s="198" t="str">
        <f>IF(F1330="","Belum Terisi",IF(AND($F$1329="Tidak Ada",F1330="Ada"),"CEK",""))</f>
        <v/>
      </c>
      <c r="K1330" s="31" t="str">
        <f>IF(J1330="CEK",$F$1329&amp;" Penyelenggaraan Latihan Penanggulangan Bencana","")</f>
        <v/>
      </c>
      <c r="L1330" s="43"/>
      <c r="M1330" s="21"/>
      <c r="N1330" s="847" t="s">
        <v>668</v>
      </c>
      <c r="O1330" s="21"/>
      <c r="P1330" s="21"/>
      <c r="Q1330" s="21"/>
      <c r="R1330" s="21"/>
      <c r="S1330" s="21"/>
      <c r="T1330" s="21"/>
      <c r="U1330" s="21"/>
      <c r="V1330" s="21"/>
    </row>
    <row r="1331" spans="1:22" s="2" customFormat="1" ht="40.15" customHeight="1" x14ac:dyDescent="0.25">
      <c r="A1331" s="625"/>
      <c r="B1331" s="314" t="s">
        <v>251</v>
      </c>
      <c r="C1331" s="319" t="s">
        <v>2401</v>
      </c>
      <c r="D1331" s="512">
        <f t="shared" si="102"/>
        <v>1696</v>
      </c>
      <c r="E1331" s="463" t="s">
        <v>171</v>
      </c>
      <c r="F1331" s="694" t="s">
        <v>285</v>
      </c>
      <c r="G1331" s="924"/>
      <c r="H1331" s="922"/>
      <c r="I1331" s="923"/>
      <c r="J1331" s="198" t="str">
        <f>IF(F1331="","Belum Terisi",IF(AND($F$1329="Tidak Ada",F1331="Ada"),"CEK",""))</f>
        <v/>
      </c>
      <c r="K1331" s="31" t="str">
        <f>IF(J1331="CEK",$F$1329&amp;" Penyelenggaraan Latihan Penanggulangan Bencana","")</f>
        <v/>
      </c>
      <c r="L1331" s="43"/>
      <c r="M1331" s="21"/>
      <c r="N1331" s="847" t="s">
        <v>668</v>
      </c>
      <c r="O1331" s="21"/>
      <c r="P1331" s="21"/>
      <c r="Q1331" s="21"/>
      <c r="R1331" s="21"/>
      <c r="S1331" s="21"/>
      <c r="T1331" s="21"/>
      <c r="U1331" s="21"/>
      <c r="V1331" s="21"/>
    </row>
    <row r="1332" spans="1:22" s="2" customFormat="1" ht="40.15" customHeight="1" x14ac:dyDescent="0.25">
      <c r="A1332" s="626"/>
      <c r="B1332" s="314" t="s">
        <v>255</v>
      </c>
      <c r="C1332" s="319" t="s">
        <v>2402</v>
      </c>
      <c r="D1332" s="512">
        <f t="shared" si="102"/>
        <v>1697</v>
      </c>
      <c r="E1332" s="463" t="s">
        <v>171</v>
      </c>
      <c r="F1332" s="697" t="s">
        <v>285</v>
      </c>
      <c r="G1332" s="924"/>
      <c r="H1332" s="922"/>
      <c r="I1332" s="923"/>
      <c r="J1332" s="198" t="str">
        <f>IF(F1332="","Belum Terisi",IF(AND($F$1329="Tidak Ada",F1332="Ada"),"CEK",""))</f>
        <v/>
      </c>
      <c r="K1332" s="31" t="str">
        <f>IF(J1332="CEK",$F$1329&amp;" Penyelenggaraan Latihan Penanggulangan Bencana","")</f>
        <v/>
      </c>
      <c r="L1332" s="43"/>
      <c r="M1332" s="21"/>
      <c r="N1332" s="847" t="s">
        <v>668</v>
      </c>
      <c r="O1332" s="21"/>
      <c r="P1332" s="21"/>
      <c r="Q1332" s="21"/>
      <c r="R1332" s="21"/>
      <c r="S1332" s="21"/>
      <c r="T1332" s="21"/>
      <c r="U1332" s="21"/>
      <c r="V1332" s="21"/>
    </row>
    <row r="1333" spans="1:22" s="2" customFormat="1" ht="30" customHeight="1" x14ac:dyDescent="0.25">
      <c r="A1333" s="623" t="s">
        <v>877</v>
      </c>
      <c r="B1333" s="322"/>
      <c r="C1333" s="310"/>
      <c r="D1333" s="463"/>
      <c r="E1333" s="523"/>
      <c r="F1333" s="787"/>
      <c r="G1333" s="924"/>
      <c r="H1333" s="922"/>
      <c r="I1333" s="923"/>
      <c r="J1333" s="198"/>
      <c r="K1333" s="31"/>
      <c r="L1333" s="43"/>
      <c r="M1333" s="21"/>
      <c r="N1333" s="847"/>
      <c r="O1333" s="21"/>
      <c r="P1333" s="21"/>
      <c r="Q1333" s="21"/>
      <c r="R1333" s="21"/>
      <c r="S1333" s="21"/>
      <c r="T1333" s="21"/>
      <c r="U1333" s="21"/>
      <c r="V1333" s="21"/>
    </row>
    <row r="1334" spans="1:22" s="2" customFormat="1" ht="40.15" customHeight="1" x14ac:dyDescent="0.25">
      <c r="A1334" s="627">
        <f>A1329+1</f>
        <v>376</v>
      </c>
      <c r="B1334" s="314" t="s">
        <v>41</v>
      </c>
      <c r="C1334" s="319" t="s">
        <v>2403</v>
      </c>
      <c r="D1334" s="512">
        <f>D1332+1</f>
        <v>1698</v>
      </c>
      <c r="E1334" s="463" t="s">
        <v>171</v>
      </c>
      <c r="F1334" s="693" t="s">
        <v>263</v>
      </c>
      <c r="G1334" s="924"/>
      <c r="H1334" s="922"/>
      <c r="I1334" s="923"/>
      <c r="J1334" s="198" t="str">
        <f>IF(LEN(F1334)&gt;0,"","Belum Terisi")</f>
        <v/>
      </c>
      <c r="K1334" s="31"/>
      <c r="L1334" s="43"/>
      <c r="M1334" s="21"/>
      <c r="N1334" s="847" t="s">
        <v>668</v>
      </c>
      <c r="O1334" s="21"/>
      <c r="P1334" s="21"/>
      <c r="Q1334" s="21"/>
      <c r="R1334" s="21"/>
      <c r="S1334" s="21"/>
      <c r="T1334" s="21"/>
      <c r="U1334" s="21"/>
      <c r="V1334" s="21"/>
    </row>
    <row r="1335" spans="1:22" s="2" customFormat="1" ht="30" customHeight="1" x14ac:dyDescent="0.25">
      <c r="A1335" s="625"/>
      <c r="B1335" s="314" t="s">
        <v>139</v>
      </c>
      <c r="C1335" s="319" t="s">
        <v>2404</v>
      </c>
      <c r="D1335" s="512">
        <f t="shared" si="102"/>
        <v>1699</v>
      </c>
      <c r="E1335" s="463" t="s">
        <v>171</v>
      </c>
      <c r="F1335" s="694" t="s">
        <v>263</v>
      </c>
      <c r="G1335" s="924"/>
      <c r="H1335" s="922"/>
      <c r="I1335" s="923"/>
      <c r="J1335" s="198" t="str">
        <f>IF(F1335="","Belum Terisi",IF(AND($F$1334="Tidak Ada",F1335="Ada"),"CEK",""))</f>
        <v/>
      </c>
      <c r="K1335" s="31" t="str">
        <f>IF(J1335="CEK",$F$1334&amp;" Menerima Bantuan Atau Kerjasama dengan Pihak Luar dalam Pelaksanaan Kegiatan Penanggulangan Bencana","")</f>
        <v/>
      </c>
      <c r="L1335" s="43"/>
      <c r="M1335" s="21"/>
      <c r="N1335" s="847" t="s">
        <v>668</v>
      </c>
      <c r="O1335" s="21"/>
      <c r="P1335" s="21"/>
      <c r="Q1335" s="21"/>
      <c r="R1335" s="21"/>
      <c r="S1335" s="21"/>
      <c r="T1335" s="21"/>
      <c r="U1335" s="21"/>
      <c r="V1335" s="21"/>
    </row>
    <row r="1336" spans="1:22" s="2" customFormat="1" ht="40.15" customHeight="1" x14ac:dyDescent="0.25">
      <c r="A1336" s="625"/>
      <c r="B1336" s="314" t="s">
        <v>251</v>
      </c>
      <c r="C1336" s="319" t="s">
        <v>2405</v>
      </c>
      <c r="D1336" s="512">
        <f t="shared" si="102"/>
        <v>1700</v>
      </c>
      <c r="E1336" s="463" t="s">
        <v>171</v>
      </c>
      <c r="F1336" s="694" t="s">
        <v>263</v>
      </c>
      <c r="G1336" s="924"/>
      <c r="H1336" s="922"/>
      <c r="I1336" s="923"/>
      <c r="J1336" s="198" t="str">
        <f>IF(F1336="","Belum Terisi",IF(AND($F$1334="Tidak Ada",F1336="Ada"),"CEK",""))</f>
        <v/>
      </c>
      <c r="K1336" s="31" t="str">
        <f>IF(J1336="CEK",$F$1334&amp;" Menerima Bantuan Atau Kerjasama dengan Pihak Luar dalam Pelaksanaan Kegiatan Penanggulangan Bencana","")</f>
        <v/>
      </c>
      <c r="L1336" s="43"/>
      <c r="M1336" s="21"/>
      <c r="N1336" s="847" t="s">
        <v>668</v>
      </c>
      <c r="O1336" s="21"/>
      <c r="P1336" s="21"/>
      <c r="Q1336" s="21"/>
      <c r="R1336" s="21"/>
      <c r="S1336" s="21"/>
      <c r="T1336" s="21"/>
      <c r="U1336" s="21"/>
      <c r="V1336" s="21"/>
    </row>
    <row r="1337" spans="1:22" s="2" customFormat="1" ht="40.15" customHeight="1" x14ac:dyDescent="0.25">
      <c r="A1337" s="626"/>
      <c r="B1337" s="314" t="s">
        <v>255</v>
      </c>
      <c r="C1337" s="319" t="s">
        <v>2406</v>
      </c>
      <c r="D1337" s="512">
        <f t="shared" si="102"/>
        <v>1701</v>
      </c>
      <c r="E1337" s="463" t="s">
        <v>171</v>
      </c>
      <c r="F1337" s="697" t="s">
        <v>263</v>
      </c>
      <c r="G1337" s="924"/>
      <c r="H1337" s="922"/>
      <c r="I1337" s="923"/>
      <c r="J1337" s="198" t="str">
        <f>IF(F1337="","Belum Terisi",IF(AND($F$1334="Tidak Ada",F1337="Ada"),"CEK",""))</f>
        <v/>
      </c>
      <c r="K1337" s="31" t="str">
        <f>IF(J1337="CEK",$F$1334&amp;" Menerima Bantuan Atau Kerjasama dengan Pihak Luar dalam Pelaksanaan Kegiatan Penanggulangan Bencana","")</f>
        <v/>
      </c>
      <c r="L1337" s="43"/>
      <c r="M1337" s="21"/>
      <c r="N1337" s="847" t="s">
        <v>668</v>
      </c>
      <c r="O1337" s="21"/>
      <c r="P1337" s="21"/>
      <c r="Q1337" s="21"/>
      <c r="R1337" s="21"/>
      <c r="S1337" s="21"/>
      <c r="T1337" s="21"/>
      <c r="U1337" s="21"/>
      <c r="V1337" s="21"/>
    </row>
    <row r="1338" spans="1:22" s="2" customFormat="1" ht="30" customHeight="1" x14ac:dyDescent="0.25">
      <c r="A1338" s="623" t="s">
        <v>763</v>
      </c>
      <c r="B1338" s="322"/>
      <c r="C1338" s="310"/>
      <c r="D1338" s="463"/>
      <c r="E1338" s="523"/>
      <c r="F1338" s="787"/>
      <c r="G1338" s="924"/>
      <c r="H1338" s="922"/>
      <c r="I1338" s="923"/>
      <c r="J1338" s="198"/>
      <c r="K1338" s="31"/>
      <c r="L1338" s="43"/>
      <c r="M1338" s="21"/>
      <c r="N1338" s="847"/>
      <c r="O1338" s="21"/>
      <c r="P1338" s="21"/>
      <c r="Q1338" s="21"/>
      <c r="R1338" s="21"/>
      <c r="S1338" s="21"/>
      <c r="T1338" s="21"/>
      <c r="U1338" s="21"/>
      <c r="V1338" s="21"/>
    </row>
    <row r="1339" spans="1:22" s="2" customFormat="1" ht="30" customHeight="1" x14ac:dyDescent="0.25">
      <c r="A1339" s="627">
        <f>A1334+1</f>
        <v>377</v>
      </c>
      <c r="B1339" s="314" t="s">
        <v>41</v>
      </c>
      <c r="C1339" s="319" t="s">
        <v>2407</v>
      </c>
      <c r="D1339" s="508">
        <f>D1337+1</f>
        <v>1702</v>
      </c>
      <c r="E1339" s="463" t="s">
        <v>171</v>
      </c>
      <c r="F1339" s="693" t="s">
        <v>263</v>
      </c>
      <c r="G1339" s="927"/>
      <c r="H1339" s="928"/>
      <c r="I1339" s="923"/>
      <c r="J1339" s="198" t="str">
        <f>IF(LEN(F1339)&gt;0,"","Belum Terisi")</f>
        <v/>
      </c>
      <c r="K1339" s="31"/>
      <c r="L1339" s="43"/>
      <c r="M1339" s="21"/>
      <c r="N1339" s="847" t="s">
        <v>668</v>
      </c>
      <c r="O1339" s="21"/>
      <c r="P1339" s="21"/>
      <c r="Q1339" s="21"/>
      <c r="R1339" s="21"/>
      <c r="S1339" s="21"/>
      <c r="T1339" s="21"/>
      <c r="U1339" s="21"/>
      <c r="V1339" s="21"/>
    </row>
    <row r="1340" spans="1:22" s="2" customFormat="1" ht="30" customHeight="1" x14ac:dyDescent="0.25">
      <c r="A1340" s="625"/>
      <c r="B1340" s="314" t="s">
        <v>139</v>
      </c>
      <c r="C1340" s="319" t="s">
        <v>2408</v>
      </c>
      <c r="D1340" s="100">
        <f t="shared" si="102"/>
        <v>1703</v>
      </c>
      <c r="E1340" s="463" t="s">
        <v>171</v>
      </c>
      <c r="F1340" s="694" t="s">
        <v>263</v>
      </c>
      <c r="G1340" s="927"/>
      <c r="H1340" s="928"/>
      <c r="I1340" s="923"/>
      <c r="J1340" s="198" t="str">
        <f>IF(F1340="","Belum Terisi",IF(AND($F$1339="Tidak Ada",F1340="Ada"),"CEK",""))</f>
        <v/>
      </c>
      <c r="K1340" s="31" t="str">
        <f>IF(J1340="CEK",$F$1339&amp;" Sosialisasi Pengetahuan Kebencanaan yang Sesuai dengan Bahaya yang Ada di Desa","")</f>
        <v/>
      </c>
      <c r="L1340" s="43"/>
      <c r="M1340" s="21"/>
      <c r="N1340" s="847" t="s">
        <v>668</v>
      </c>
      <c r="O1340" s="21"/>
      <c r="P1340" s="21"/>
      <c r="Q1340" s="21"/>
      <c r="R1340" s="21"/>
      <c r="S1340" s="21"/>
      <c r="T1340" s="21"/>
      <c r="U1340" s="21"/>
      <c r="V1340" s="21"/>
    </row>
    <row r="1341" spans="1:22" s="2" customFormat="1" ht="40.15" customHeight="1" x14ac:dyDescent="0.25">
      <c r="A1341" s="625"/>
      <c r="B1341" s="314" t="s">
        <v>251</v>
      </c>
      <c r="C1341" s="319" t="s">
        <v>2409</v>
      </c>
      <c r="D1341" s="100">
        <f t="shared" si="102"/>
        <v>1704</v>
      </c>
      <c r="E1341" s="463" t="s">
        <v>171</v>
      </c>
      <c r="F1341" s="694" t="s">
        <v>263</v>
      </c>
      <c r="G1341" s="927"/>
      <c r="H1341" s="928"/>
      <c r="I1341" s="923"/>
      <c r="J1341" s="198" t="str">
        <f>IF(F1341="","Belum Terisi",IF(AND($F$1339="Tidak Ada",F1341="Ada"),"CEK",""))</f>
        <v/>
      </c>
      <c r="K1341" s="31" t="str">
        <f>IF(J1341="CEK",$F$1339&amp;" Sosialisasi Pengetahuan Kebencanaan yang Sesuai dengan Bahaya yang Ada di Desa","")</f>
        <v/>
      </c>
      <c r="L1341" s="43"/>
      <c r="M1341" s="21"/>
      <c r="N1341" s="847" t="s">
        <v>668</v>
      </c>
      <c r="O1341" s="21"/>
      <c r="P1341" s="21"/>
      <c r="Q1341" s="21"/>
      <c r="R1341" s="21"/>
      <c r="S1341" s="21"/>
      <c r="T1341" s="21"/>
      <c r="U1341" s="21"/>
      <c r="V1341" s="21"/>
    </row>
    <row r="1342" spans="1:22" s="2" customFormat="1" ht="40.15" customHeight="1" x14ac:dyDescent="0.25">
      <c r="A1342" s="626"/>
      <c r="B1342" s="314" t="s">
        <v>255</v>
      </c>
      <c r="C1342" s="319" t="s">
        <v>2410</v>
      </c>
      <c r="D1342" s="100">
        <f t="shared" si="102"/>
        <v>1705</v>
      </c>
      <c r="E1342" s="463" t="s">
        <v>171</v>
      </c>
      <c r="F1342" s="697" t="s">
        <v>263</v>
      </c>
      <c r="G1342" s="927"/>
      <c r="H1342" s="928"/>
      <c r="I1342" s="923"/>
      <c r="J1342" s="198" t="str">
        <f>IF(F1342="","Belum Terisi",IF(AND($F$1339="Tidak Ada",F1342="Ada"),"CEK",""))</f>
        <v/>
      </c>
      <c r="K1342" s="31" t="str">
        <f>IF(J1342="CEK",$F$1339&amp;" Sosialisasi Pengetahuan Kebencanaan yang Sesuai dengan Bahaya yang Ada di Desa","")</f>
        <v/>
      </c>
      <c r="L1342" s="43"/>
      <c r="M1342" s="21"/>
      <c r="N1342" s="847" t="s">
        <v>668</v>
      </c>
      <c r="O1342" s="21"/>
      <c r="P1342" s="21"/>
      <c r="Q1342" s="21"/>
      <c r="R1342" s="21"/>
      <c r="S1342" s="21"/>
      <c r="T1342" s="21"/>
      <c r="U1342" s="21"/>
      <c r="V1342" s="21"/>
    </row>
    <row r="1343" spans="1:22" s="2" customFormat="1" ht="30" customHeight="1" x14ac:dyDescent="0.25">
      <c r="A1343" s="623" t="s">
        <v>768</v>
      </c>
      <c r="B1343" s="322"/>
      <c r="C1343" s="310"/>
      <c r="D1343" s="463"/>
      <c r="E1343" s="523"/>
      <c r="F1343" s="787"/>
      <c r="G1343" s="927"/>
      <c r="H1343" s="928"/>
      <c r="I1343" s="923"/>
      <c r="J1343" s="198"/>
      <c r="K1343" s="31"/>
      <c r="L1343" s="43"/>
      <c r="M1343" s="21"/>
      <c r="N1343" s="847" t="s">
        <v>668</v>
      </c>
      <c r="O1343" s="21"/>
      <c r="P1343" s="21"/>
      <c r="Q1343" s="21"/>
      <c r="R1343" s="21"/>
      <c r="S1343" s="21"/>
      <c r="T1343" s="21"/>
      <c r="U1343" s="21"/>
      <c r="V1343" s="21"/>
    </row>
    <row r="1344" spans="1:22" s="2" customFormat="1" ht="40.15" customHeight="1" x14ac:dyDescent="0.25">
      <c r="A1344" s="627">
        <f>A1339+1</f>
        <v>378</v>
      </c>
      <c r="B1344" s="314" t="s">
        <v>41</v>
      </c>
      <c r="C1344" s="319" t="s">
        <v>2411</v>
      </c>
      <c r="D1344" s="100">
        <f>D1342+1</f>
        <v>1706</v>
      </c>
      <c r="E1344" s="463" t="s">
        <v>171</v>
      </c>
      <c r="F1344" s="693" t="s">
        <v>263</v>
      </c>
      <c r="G1344" s="927"/>
      <c r="H1344" s="928"/>
      <c r="I1344" s="923"/>
      <c r="J1344" s="198" t="str">
        <f>IF(LEN(F1344)&gt;0,"","Belum Terisi")</f>
        <v/>
      </c>
      <c r="K1344" s="31"/>
      <c r="L1344" s="43"/>
      <c r="M1344" s="21"/>
      <c r="N1344" s="847" t="s">
        <v>668</v>
      </c>
      <c r="O1344" s="21"/>
      <c r="P1344" s="21"/>
      <c r="Q1344" s="21"/>
      <c r="R1344" s="21"/>
      <c r="S1344" s="21"/>
      <c r="T1344" s="21"/>
      <c r="U1344" s="21"/>
      <c r="V1344" s="21"/>
    </row>
    <row r="1345" spans="1:22" s="2" customFormat="1" ht="40.15" customHeight="1" x14ac:dyDescent="0.25">
      <c r="A1345" s="625"/>
      <c r="B1345" s="314" t="s">
        <v>139</v>
      </c>
      <c r="C1345" s="319" t="s">
        <v>2412</v>
      </c>
      <c r="D1345" s="100">
        <f t="shared" si="102"/>
        <v>1707</v>
      </c>
      <c r="E1345" s="463" t="s">
        <v>171</v>
      </c>
      <c r="F1345" s="694" t="s">
        <v>263</v>
      </c>
      <c r="G1345" s="927"/>
      <c r="H1345" s="928"/>
      <c r="I1345" s="923"/>
      <c r="J1345" s="198" t="str">
        <f>IF(F1345="","Belum Terisi",IF(AND($F$1344="Tidak Ada",F1345="Ada"),"CEK",""))</f>
        <v/>
      </c>
      <c r="K1345" s="31" t="str">
        <f>IF(J1345="CEK",$F$1344&amp;" Mekanisme untuk Menilai Kerusakan dan Kerugian Pasa Bencana Secara Mandiri untuk Rumah, Perekonomian, atau Fasilitas Layanan Dasar yang Rusak","")</f>
        <v/>
      </c>
      <c r="L1345" s="43"/>
      <c r="M1345" s="21"/>
      <c r="N1345" s="847" t="s">
        <v>668</v>
      </c>
      <c r="O1345" s="21"/>
      <c r="P1345" s="21"/>
      <c r="Q1345" s="21"/>
      <c r="R1345" s="21"/>
      <c r="S1345" s="21"/>
      <c r="T1345" s="21"/>
      <c r="U1345" s="21"/>
      <c r="V1345" s="21"/>
    </row>
    <row r="1346" spans="1:22" s="2" customFormat="1" ht="40.15" customHeight="1" x14ac:dyDescent="0.25">
      <c r="A1346" s="625"/>
      <c r="B1346" s="314" t="s">
        <v>251</v>
      </c>
      <c r="C1346" s="319" t="s">
        <v>2413</v>
      </c>
      <c r="D1346" s="100">
        <f t="shared" si="102"/>
        <v>1708</v>
      </c>
      <c r="E1346" s="463" t="s">
        <v>171</v>
      </c>
      <c r="F1346" s="694" t="s">
        <v>263</v>
      </c>
      <c r="G1346" s="927"/>
      <c r="H1346" s="928"/>
      <c r="I1346" s="923"/>
      <c r="J1346" s="198" t="str">
        <f>IF(F1346="","Belum Terisi",IF(AND($F$1344="Tidak Ada",F1346="Ada"),"CEK",""))</f>
        <v/>
      </c>
      <c r="K1346" s="31" t="str">
        <f>IF(J1346="CEK",$F$1344&amp;" Mekanisme untuk Menilai Kerusakan dan Kerugian Pasa Bencana Secara Mandiri untuk Rumah, Perekonomian, atau Fasilitas Layanan Dasar yang Rusak","")</f>
        <v/>
      </c>
      <c r="L1346" s="43"/>
      <c r="M1346" s="21"/>
      <c r="N1346" s="847" t="s">
        <v>668</v>
      </c>
      <c r="O1346" s="21"/>
      <c r="P1346" s="21"/>
      <c r="Q1346" s="21"/>
      <c r="R1346" s="21"/>
      <c r="S1346" s="21"/>
      <c r="T1346" s="21"/>
      <c r="U1346" s="21"/>
      <c r="V1346" s="21"/>
    </row>
    <row r="1347" spans="1:22" s="2" customFormat="1" ht="40.15" customHeight="1" x14ac:dyDescent="0.25">
      <c r="A1347" s="626"/>
      <c r="B1347" s="314" t="s">
        <v>255</v>
      </c>
      <c r="C1347" s="319" t="s">
        <v>2414</v>
      </c>
      <c r="D1347" s="100">
        <f t="shared" si="102"/>
        <v>1709</v>
      </c>
      <c r="E1347" s="463" t="s">
        <v>171</v>
      </c>
      <c r="F1347" s="697" t="s">
        <v>263</v>
      </c>
      <c r="G1347" s="927"/>
      <c r="H1347" s="928"/>
      <c r="I1347" s="923"/>
      <c r="J1347" s="198" t="str">
        <f>IF(F1347="","Belum Terisi",IF(AND($F$1344="Tidak Ada",F1347="Ada"),"CEK",""))</f>
        <v/>
      </c>
      <c r="K1347" s="31" t="str">
        <f>IF(J1347="CEK",$F$1344&amp;" Mekanisme untuk Menilai Kerusakan dan Kerugian Pasa Bencana Secara Mandiri untuk Rumah, Perekonomian, atau Fasilitas Layanan Dasar yang Rusak","")</f>
        <v/>
      </c>
      <c r="L1347" s="43"/>
      <c r="M1347" s="21"/>
      <c r="N1347" s="847" t="s">
        <v>668</v>
      </c>
      <c r="O1347" s="21"/>
      <c r="P1347" s="21"/>
      <c r="Q1347" s="21"/>
      <c r="R1347" s="21"/>
      <c r="S1347" s="21"/>
      <c r="T1347" s="21"/>
      <c r="U1347" s="21"/>
      <c r="V1347" s="21"/>
    </row>
    <row r="1348" spans="1:22" s="2" customFormat="1" ht="30" customHeight="1" x14ac:dyDescent="0.25">
      <c r="A1348" s="623" t="s">
        <v>769</v>
      </c>
      <c r="B1348" s="322"/>
      <c r="C1348" s="310"/>
      <c r="D1348" s="463"/>
      <c r="E1348" s="523"/>
      <c r="F1348" s="787"/>
      <c r="G1348" s="927"/>
      <c r="H1348" s="928"/>
      <c r="I1348" s="923"/>
      <c r="J1348" s="198"/>
      <c r="K1348" s="31"/>
      <c r="L1348" s="43"/>
      <c r="M1348" s="21"/>
      <c r="N1348" s="847" t="s">
        <v>668</v>
      </c>
      <c r="O1348" s="21"/>
      <c r="P1348" s="21"/>
      <c r="Q1348" s="21"/>
      <c r="R1348" s="21"/>
      <c r="S1348" s="21"/>
      <c r="T1348" s="21"/>
      <c r="U1348" s="21"/>
      <c r="V1348" s="21"/>
    </row>
    <row r="1349" spans="1:22" s="2" customFormat="1" ht="40.15" customHeight="1" x14ac:dyDescent="0.25">
      <c r="A1349" s="627">
        <f>A1344+1</f>
        <v>379</v>
      </c>
      <c r="B1349" s="314" t="s">
        <v>41</v>
      </c>
      <c r="C1349" s="319" t="s">
        <v>2415</v>
      </c>
      <c r="D1349" s="100">
        <f>D1347+1</f>
        <v>1710</v>
      </c>
      <c r="E1349" s="463" t="s">
        <v>171</v>
      </c>
      <c r="F1349" s="693" t="s">
        <v>263</v>
      </c>
      <c r="G1349" s="927"/>
      <c r="H1349" s="928"/>
      <c r="I1349" s="923"/>
      <c r="J1349" s="198" t="str">
        <f>IF(LEN(F1349)&gt;0,"","Belum Terisi")</f>
        <v/>
      </c>
      <c r="K1349" s="31"/>
      <c r="L1349" s="43"/>
      <c r="M1349" s="21"/>
      <c r="N1349" s="847" t="s">
        <v>668</v>
      </c>
      <c r="O1349" s="21"/>
      <c r="P1349" s="21"/>
      <c r="Q1349" s="21"/>
      <c r="R1349" s="21"/>
      <c r="S1349" s="21"/>
      <c r="T1349" s="21"/>
      <c r="U1349" s="21"/>
      <c r="V1349" s="21"/>
    </row>
    <row r="1350" spans="1:22" s="2" customFormat="1" ht="30" customHeight="1" x14ac:dyDescent="0.25">
      <c r="A1350" s="625"/>
      <c r="B1350" s="314" t="s">
        <v>139</v>
      </c>
      <c r="C1350" s="319" t="s">
        <v>2416</v>
      </c>
      <c r="D1350" s="100">
        <f t="shared" si="102"/>
        <v>1711</v>
      </c>
      <c r="E1350" s="463" t="s">
        <v>171</v>
      </c>
      <c r="F1350" s="694" t="s">
        <v>263</v>
      </c>
      <c r="G1350" s="927"/>
      <c r="H1350" s="928"/>
      <c r="I1350" s="923"/>
      <c r="J1350" s="198" t="str">
        <f>IF(F1350="","Belum Terisi",IF(AND($F$1349="Tidak Ada",F1350="Ada"),"CEK",""))</f>
        <v/>
      </c>
      <c r="K1350" s="31" t="str">
        <f>IF(J1350="CEK",$F$1349&amp;" Mekanisme untuk Pemulihan Dini Secara Mandiri untuk Fungsi-Fungsi Layanan Dasar yang Rusak","")</f>
        <v/>
      </c>
      <c r="L1350" s="43"/>
      <c r="M1350" s="21"/>
      <c r="N1350" s="847" t="s">
        <v>668</v>
      </c>
      <c r="O1350" s="21"/>
      <c r="P1350" s="21"/>
      <c r="Q1350" s="21"/>
      <c r="R1350" s="21"/>
      <c r="S1350" s="21"/>
      <c r="T1350" s="21"/>
      <c r="U1350" s="21"/>
      <c r="V1350" s="21"/>
    </row>
    <row r="1351" spans="1:22" s="2" customFormat="1" ht="40.15" customHeight="1" x14ac:dyDescent="0.25">
      <c r="A1351" s="625"/>
      <c r="B1351" s="314" t="s">
        <v>251</v>
      </c>
      <c r="C1351" s="319" t="s">
        <v>2417</v>
      </c>
      <c r="D1351" s="100">
        <f t="shared" si="102"/>
        <v>1712</v>
      </c>
      <c r="E1351" s="463" t="s">
        <v>171</v>
      </c>
      <c r="F1351" s="694" t="s">
        <v>263</v>
      </c>
      <c r="G1351" s="927"/>
      <c r="H1351" s="928"/>
      <c r="I1351" s="923"/>
      <c r="J1351" s="198" t="str">
        <f>IF(F1351="","Belum Terisi",IF(AND($F$1349="Tidak Ada",F1351="Ada"),"CEK",""))</f>
        <v/>
      </c>
      <c r="K1351" s="31" t="str">
        <f>IF(J1351="CEK",$F$1349&amp;" Mekanisme untuk Pemulihan Dini Secara Mandiri untuk Fungsi-Fungsi Layanan Dasar yang Rusak","")</f>
        <v/>
      </c>
      <c r="L1351" s="43"/>
      <c r="M1351" s="21"/>
      <c r="N1351" s="847" t="s">
        <v>668</v>
      </c>
      <c r="O1351" s="21"/>
      <c r="P1351" s="21"/>
      <c r="Q1351" s="21"/>
      <c r="R1351" s="21"/>
      <c r="S1351" s="21"/>
      <c r="T1351" s="21"/>
      <c r="U1351" s="21"/>
      <c r="V1351" s="21"/>
    </row>
    <row r="1352" spans="1:22" s="2" customFormat="1" ht="40.15" customHeight="1" x14ac:dyDescent="0.25">
      <c r="A1352" s="626"/>
      <c r="B1352" s="314" t="s">
        <v>255</v>
      </c>
      <c r="C1352" s="319" t="s">
        <v>2418</v>
      </c>
      <c r="D1352" s="100">
        <f t="shared" si="102"/>
        <v>1713</v>
      </c>
      <c r="E1352" s="463" t="s">
        <v>171</v>
      </c>
      <c r="F1352" s="697" t="s">
        <v>263</v>
      </c>
      <c r="G1352" s="927"/>
      <c r="H1352" s="928"/>
      <c r="I1352" s="923"/>
      <c r="J1352" s="198" t="str">
        <f>IF(F1352="","Belum Terisi",IF(AND($F$1349="Tidak Ada",F1352="Ada"),"CEK",""))</f>
        <v/>
      </c>
      <c r="K1352" s="31" t="str">
        <f>IF(J1352="CEK",$F$1349&amp;" Mekanisme untuk Pemulihan Dini Secara Mandiri untuk Fungsi-Fungsi Layanan Dasar yang Rusak","")</f>
        <v/>
      </c>
      <c r="L1352" s="43"/>
      <c r="M1352" s="21"/>
      <c r="N1352" s="847" t="s">
        <v>668</v>
      </c>
      <c r="O1352" s="21"/>
      <c r="P1352" s="21"/>
      <c r="Q1352" s="21"/>
      <c r="R1352" s="21"/>
      <c r="S1352" s="21"/>
      <c r="T1352" s="21"/>
      <c r="U1352" s="21"/>
      <c r="V1352" s="21"/>
    </row>
    <row r="1353" spans="1:22" s="2" customFormat="1" ht="30" customHeight="1" x14ac:dyDescent="0.25">
      <c r="A1353" s="667" t="s">
        <v>770</v>
      </c>
      <c r="B1353" s="322"/>
      <c r="C1353" s="310"/>
      <c r="D1353" s="463"/>
      <c r="E1353" s="523"/>
      <c r="F1353" s="787"/>
      <c r="G1353" s="927"/>
      <c r="H1353" s="928"/>
      <c r="I1353" s="923"/>
      <c r="J1353" s="198"/>
      <c r="K1353" s="31"/>
      <c r="L1353" s="43"/>
      <c r="M1353" s="21"/>
      <c r="N1353" s="847" t="s">
        <v>668</v>
      </c>
      <c r="O1353" s="21"/>
      <c r="P1353" s="21"/>
      <c r="Q1353" s="21"/>
      <c r="R1353" s="21"/>
      <c r="S1353" s="21"/>
      <c r="T1353" s="21"/>
      <c r="U1353" s="21"/>
      <c r="V1353" s="21"/>
    </row>
    <row r="1354" spans="1:22" s="2" customFormat="1" ht="30" customHeight="1" x14ac:dyDescent="0.25">
      <c r="A1354" s="627">
        <f>A1349+1</f>
        <v>380</v>
      </c>
      <c r="B1354" s="314" t="s">
        <v>41</v>
      </c>
      <c r="C1354" s="319" t="s">
        <v>2419</v>
      </c>
      <c r="D1354" s="100">
        <f>D1352+1</f>
        <v>1714</v>
      </c>
      <c r="E1354" s="463" t="s">
        <v>171</v>
      </c>
      <c r="F1354" s="693" t="s">
        <v>285</v>
      </c>
      <c r="G1354" s="927"/>
      <c r="H1354" s="928"/>
      <c r="I1354" s="923"/>
      <c r="J1354" s="198" t="str">
        <f>IF(LEN(F1354)&gt;0,"","Belum Terisi")</f>
        <v/>
      </c>
      <c r="K1354" s="31"/>
      <c r="L1354" s="43"/>
      <c r="M1354" s="21"/>
      <c r="N1354" s="847" t="s">
        <v>668</v>
      </c>
      <c r="O1354" s="21"/>
      <c r="P1354" s="21"/>
      <c r="Q1354" s="21"/>
      <c r="R1354" s="21"/>
      <c r="S1354" s="21"/>
      <c r="T1354" s="21"/>
      <c r="U1354" s="21"/>
      <c r="V1354" s="21"/>
    </row>
    <row r="1355" spans="1:22" s="2" customFormat="1" ht="40.15" customHeight="1" x14ac:dyDescent="0.25">
      <c r="A1355" s="625"/>
      <c r="B1355" s="314" t="s">
        <v>139</v>
      </c>
      <c r="C1355" s="319" t="s">
        <v>2420</v>
      </c>
      <c r="D1355" s="100">
        <f t="shared" si="102"/>
        <v>1715</v>
      </c>
      <c r="E1355" s="463" t="s">
        <v>171</v>
      </c>
      <c r="F1355" s="694" t="s">
        <v>285</v>
      </c>
      <c r="G1355" s="927"/>
      <c r="H1355" s="928"/>
      <c r="I1355" s="923"/>
      <c r="J1355" s="198" t="str">
        <f>IF(F1355="","Belum Terisi",IF(AND($F$1354="Tidak Ada",F1355="Ada"),"CEK",""))</f>
        <v/>
      </c>
      <c r="K1355" s="31" t="str">
        <f>IF(J1355="CEK",$F$1354&amp;" Mekanisme untuk Pengelolaan Bantuan Secara Mandiri yang Transparan dan Akuntabel","")</f>
        <v/>
      </c>
      <c r="L1355" s="43"/>
      <c r="M1355" s="21"/>
      <c r="N1355" s="847" t="s">
        <v>668</v>
      </c>
      <c r="O1355" s="21"/>
      <c r="P1355" s="21"/>
      <c r="Q1355" s="21"/>
      <c r="R1355" s="21"/>
      <c r="S1355" s="21"/>
      <c r="T1355" s="21"/>
      <c r="U1355" s="21"/>
      <c r="V1355" s="21"/>
    </row>
    <row r="1356" spans="1:22" s="2" customFormat="1" ht="40.15" customHeight="1" x14ac:dyDescent="0.25">
      <c r="A1356" s="625"/>
      <c r="B1356" s="314" t="s">
        <v>251</v>
      </c>
      <c r="C1356" s="319" t="s">
        <v>2421</v>
      </c>
      <c r="D1356" s="100">
        <f t="shared" si="102"/>
        <v>1716</v>
      </c>
      <c r="E1356" s="463" t="s">
        <v>171</v>
      </c>
      <c r="F1356" s="694" t="s">
        <v>285</v>
      </c>
      <c r="G1356" s="927"/>
      <c r="H1356" s="928"/>
      <c r="I1356" s="923"/>
      <c r="J1356" s="198" t="str">
        <f>IF(F1356="","Belum Terisi",IF(AND($F$1354="Tidak Ada",F1356="Ada"),"CEK",""))</f>
        <v/>
      </c>
      <c r="K1356" s="31" t="str">
        <f>IF(J1356="CEK",$F$1354&amp;" Mekanisme untuk Pengelolaan Bantuan Secara Mandiri yang Transparan dan Akuntabel","")</f>
        <v/>
      </c>
      <c r="L1356" s="43"/>
      <c r="M1356" s="21"/>
      <c r="N1356" s="847" t="s">
        <v>668</v>
      </c>
      <c r="O1356" s="21"/>
      <c r="P1356" s="21"/>
      <c r="Q1356" s="21"/>
      <c r="R1356" s="21"/>
      <c r="S1356" s="21"/>
      <c r="T1356" s="21"/>
      <c r="U1356" s="21"/>
      <c r="V1356" s="21"/>
    </row>
    <row r="1357" spans="1:22" s="2" customFormat="1" ht="40.15" customHeight="1" x14ac:dyDescent="0.25">
      <c r="A1357" s="626"/>
      <c r="B1357" s="314" t="s">
        <v>255</v>
      </c>
      <c r="C1357" s="319" t="s">
        <v>2422</v>
      </c>
      <c r="D1357" s="100">
        <f t="shared" si="102"/>
        <v>1717</v>
      </c>
      <c r="E1357" s="463" t="s">
        <v>171</v>
      </c>
      <c r="F1357" s="697" t="s">
        <v>285</v>
      </c>
      <c r="G1357" s="927"/>
      <c r="H1357" s="928"/>
      <c r="I1357" s="923"/>
      <c r="J1357" s="198" t="str">
        <f>IF(F1357="","Belum Terisi",IF(AND($F$1354="Tidak Ada",F1357="Ada"),"CEK",""))</f>
        <v/>
      </c>
      <c r="K1357" s="31" t="str">
        <f>IF(J1357="CEK",$F$1354&amp;" Mekanisme untuk Pengelolaan Bantuan Secara Mandiri yang Transparan dan Akuntabel","")</f>
        <v/>
      </c>
      <c r="L1357" s="43"/>
      <c r="M1357" s="21"/>
      <c r="N1357" s="847" t="s">
        <v>668</v>
      </c>
      <c r="O1357" s="21"/>
      <c r="P1357" s="21"/>
      <c r="Q1357" s="21"/>
      <c r="R1357" s="21"/>
      <c r="S1357" s="21"/>
      <c r="T1357" s="21"/>
      <c r="U1357" s="21"/>
      <c r="V1357" s="21"/>
    </row>
    <row r="1358" spans="1:22" s="2" customFormat="1" ht="30" customHeight="1" x14ac:dyDescent="0.25">
      <c r="A1358" s="667" t="s">
        <v>771</v>
      </c>
      <c r="B1358" s="322"/>
      <c r="C1358" s="310"/>
      <c r="D1358" s="463"/>
      <c r="E1358" s="523"/>
      <c r="F1358" s="787"/>
      <c r="G1358" s="927"/>
      <c r="H1358" s="928"/>
      <c r="I1358" s="923"/>
      <c r="J1358" s="198"/>
      <c r="K1358" s="31"/>
      <c r="L1358" s="43"/>
      <c r="M1358" s="21"/>
      <c r="N1358" s="847" t="s">
        <v>668</v>
      </c>
      <c r="O1358" s="21"/>
      <c r="P1358" s="21"/>
      <c r="Q1358" s="21"/>
      <c r="R1358" s="21"/>
      <c r="S1358" s="21"/>
      <c r="T1358" s="21"/>
      <c r="U1358" s="21"/>
      <c r="V1358" s="21"/>
    </row>
    <row r="1359" spans="1:22" s="2" customFormat="1" ht="40.15" customHeight="1" x14ac:dyDescent="0.25">
      <c r="A1359" s="627">
        <f>A1354+1</f>
        <v>381</v>
      </c>
      <c r="B1359" s="314" t="s">
        <v>41</v>
      </c>
      <c r="C1359" s="319" t="s">
        <v>2423</v>
      </c>
      <c r="D1359" s="100">
        <f>D1357+1</f>
        <v>1718</v>
      </c>
      <c r="E1359" s="463" t="s">
        <v>171</v>
      </c>
      <c r="F1359" s="693" t="s">
        <v>285</v>
      </c>
      <c r="G1359" s="927"/>
      <c r="H1359" s="928"/>
      <c r="I1359" s="923"/>
      <c r="J1359" s="198" t="str">
        <f>IF(LEN(F1359)&gt;0,"","Belum Terisi")</f>
        <v/>
      </c>
      <c r="K1359" s="31"/>
      <c r="L1359" s="43"/>
      <c r="M1359" s="21"/>
      <c r="N1359" s="847" t="s">
        <v>668</v>
      </c>
      <c r="O1359" s="21"/>
      <c r="P1359" s="21"/>
      <c r="Q1359" s="21"/>
      <c r="R1359" s="21"/>
      <c r="S1359" s="21"/>
      <c r="T1359" s="21"/>
      <c r="U1359" s="21"/>
      <c r="V1359" s="21"/>
    </row>
    <row r="1360" spans="1:22" s="2" customFormat="1" ht="40.15" customHeight="1" x14ac:dyDescent="0.25">
      <c r="A1360" s="625"/>
      <c r="B1360" s="314" t="s">
        <v>139</v>
      </c>
      <c r="C1360" s="319" t="s">
        <v>2424</v>
      </c>
      <c r="D1360" s="100">
        <f t="shared" si="102"/>
        <v>1719</v>
      </c>
      <c r="E1360" s="463" t="s">
        <v>171</v>
      </c>
      <c r="F1360" s="694" t="s">
        <v>285</v>
      </c>
      <c r="G1360" s="927"/>
      <c r="H1360" s="928"/>
      <c r="I1360" s="923"/>
      <c r="J1360" s="198" t="str">
        <f>IF(F1360="","Belum Terisi",IF(AND($F$1359="Tidak Ada",F1360="Ada"),"CEK",""))</f>
        <v/>
      </c>
      <c r="K1360" s="31" t="str">
        <f>IF(J1360="CEK",$F$1359&amp;" Rencana untuk Membangun Fasilitas Dasar yang Berada di Daerah Rawan Secara lebih Baik Pasca Bencana","")</f>
        <v/>
      </c>
      <c r="L1360" s="43"/>
      <c r="M1360" s="21"/>
      <c r="N1360" s="847" t="s">
        <v>668</v>
      </c>
      <c r="O1360" s="21"/>
      <c r="P1360" s="21"/>
      <c r="Q1360" s="21"/>
      <c r="R1360" s="21"/>
      <c r="S1360" s="21"/>
      <c r="T1360" s="21"/>
      <c r="U1360" s="21"/>
      <c r="V1360" s="21"/>
    </row>
    <row r="1361" spans="1:22" s="2" customFormat="1" ht="40.15" customHeight="1" x14ac:dyDescent="0.25">
      <c r="A1361" s="625"/>
      <c r="B1361" s="314" t="s">
        <v>251</v>
      </c>
      <c r="C1361" s="319" t="s">
        <v>2425</v>
      </c>
      <c r="D1361" s="100">
        <f t="shared" si="102"/>
        <v>1720</v>
      </c>
      <c r="E1361" s="463" t="s">
        <v>171</v>
      </c>
      <c r="F1361" s="694" t="s">
        <v>263</v>
      </c>
      <c r="G1361" s="927"/>
      <c r="H1361" s="928"/>
      <c r="I1361" s="923"/>
      <c r="J1361" s="198" t="str">
        <f>IF(F1361="","Belum Terisi",IF(AND($F$1359="Tidak Ada",F1361="Ada"),"CEK",""))</f>
        <v/>
      </c>
      <c r="K1361" s="31" t="str">
        <f>IF(J1361="CEK",$F$1359&amp;" Rencana untuk Membangun Fasilitas Dasar yang Berada di Daerah Rawan Secara lebih Baik Pasca Bencana","")</f>
        <v/>
      </c>
      <c r="L1361" s="43"/>
      <c r="M1361" s="21"/>
      <c r="N1361" s="847" t="s">
        <v>668</v>
      </c>
      <c r="O1361" s="21"/>
      <c r="P1361" s="21"/>
      <c r="Q1361" s="21"/>
      <c r="R1361" s="21"/>
      <c r="S1361" s="21"/>
      <c r="T1361" s="21"/>
      <c r="U1361" s="21"/>
      <c r="V1361" s="21"/>
    </row>
    <row r="1362" spans="1:22" s="2" customFormat="1" ht="40.15" customHeight="1" x14ac:dyDescent="0.25">
      <c r="A1362" s="626"/>
      <c r="B1362" s="314" t="s">
        <v>255</v>
      </c>
      <c r="C1362" s="319" t="s">
        <v>2426</v>
      </c>
      <c r="D1362" s="100">
        <f t="shared" si="102"/>
        <v>1721</v>
      </c>
      <c r="E1362" s="463" t="s">
        <v>171</v>
      </c>
      <c r="F1362" s="697" t="s">
        <v>263</v>
      </c>
      <c r="G1362" s="927"/>
      <c r="H1362" s="928"/>
      <c r="I1362" s="923"/>
      <c r="J1362" s="198" t="str">
        <f>IF(F1362="","Belum Terisi",IF(AND($F$1359="Tidak Ada",F1362="Ada"),"CEK",""))</f>
        <v/>
      </c>
      <c r="K1362" s="31" t="str">
        <f>IF(J1362="CEK",$F$1359&amp;" Rencana untuk Membangun Fasilitas Dasar yang Berada di Daerah Rawan Secara lebih Baik Pasca Bencana","")</f>
        <v/>
      </c>
      <c r="L1362" s="43"/>
      <c r="M1362" s="21"/>
      <c r="N1362" s="847" t="s">
        <v>668</v>
      </c>
      <c r="O1362" s="21"/>
      <c r="P1362" s="21"/>
      <c r="Q1362" s="21"/>
      <c r="R1362" s="21"/>
      <c r="S1362" s="21"/>
      <c r="T1362" s="21"/>
      <c r="U1362" s="21"/>
      <c r="V1362" s="21"/>
    </row>
    <row r="1363" spans="1:22" s="2" customFormat="1" ht="40.15" customHeight="1" x14ac:dyDescent="0.25">
      <c r="A1363" s="668" t="s">
        <v>2621</v>
      </c>
      <c r="B1363" s="386"/>
      <c r="C1363" s="387"/>
      <c r="D1363" s="439"/>
      <c r="E1363" s="446"/>
      <c r="F1363" s="788"/>
      <c r="G1363" s="927"/>
      <c r="H1363" s="928"/>
      <c r="I1363" s="923"/>
      <c r="J1363" s="198"/>
      <c r="K1363" s="31"/>
      <c r="L1363" s="43"/>
      <c r="M1363" s="21"/>
      <c r="N1363" s="847"/>
      <c r="O1363" s="21"/>
      <c r="P1363" s="21"/>
      <c r="Q1363" s="21"/>
      <c r="R1363" s="21"/>
      <c r="S1363" s="21"/>
      <c r="T1363" s="21"/>
      <c r="U1363" s="21"/>
      <c r="V1363" s="21"/>
    </row>
    <row r="1364" spans="1:22" s="2" customFormat="1" ht="30" customHeight="1" x14ac:dyDescent="0.25">
      <c r="A1364" s="669">
        <f>A1359+1</f>
        <v>382</v>
      </c>
      <c r="B1364" s="388" t="s">
        <v>41</v>
      </c>
      <c r="C1364" s="389" t="s">
        <v>97</v>
      </c>
      <c r="D1364" s="524">
        <f>D1362+1</f>
        <v>1722</v>
      </c>
      <c r="E1364" s="427" t="s">
        <v>171</v>
      </c>
      <c r="F1364" s="693">
        <v>2</v>
      </c>
      <c r="G1364" s="924"/>
      <c r="H1364" s="922" t="s">
        <v>879</v>
      </c>
      <c r="I1364" s="922"/>
      <c r="J1364" s="198" t="str">
        <f>IF(LEN(F1364)&gt;0,"","Belum Terisi")</f>
        <v/>
      </c>
      <c r="K1364" s="31"/>
      <c r="L1364" s="43"/>
      <c r="M1364" s="21"/>
      <c r="N1364" s="21"/>
      <c r="O1364" s="21"/>
      <c r="P1364" s="21"/>
      <c r="Q1364" s="21"/>
      <c r="R1364" s="21"/>
      <c r="S1364" s="21"/>
      <c r="T1364" s="21"/>
      <c r="U1364" s="21"/>
      <c r="V1364" s="21"/>
    </row>
    <row r="1365" spans="1:22" s="2" customFormat="1" ht="30" customHeight="1" x14ac:dyDescent="0.25">
      <c r="A1365" s="670"/>
      <c r="B1365" s="388" t="s">
        <v>139</v>
      </c>
      <c r="C1365" s="389" t="s">
        <v>98</v>
      </c>
      <c r="D1365" s="524">
        <f t="shared" ref="D1365:D1374" si="103">D1364+1</f>
        <v>1723</v>
      </c>
      <c r="E1365" s="427" t="s">
        <v>171</v>
      </c>
      <c r="F1365" s="707">
        <v>5</v>
      </c>
      <c r="G1365" s="924"/>
      <c r="H1365" s="922" t="s">
        <v>880</v>
      </c>
      <c r="I1365" s="923"/>
      <c r="J1365" s="198" t="str">
        <f>IF(LEN(F1365)&gt;0,"","Belum Terisi")</f>
        <v/>
      </c>
      <c r="K1365" s="31"/>
      <c r="L1365" s="43"/>
      <c r="M1365" s="21"/>
      <c r="N1365" s="21"/>
      <c r="O1365" s="21"/>
      <c r="P1365" s="21"/>
      <c r="Q1365" s="21"/>
      <c r="R1365" s="21"/>
      <c r="S1365" s="21"/>
      <c r="T1365" s="21"/>
      <c r="U1365" s="21"/>
      <c r="V1365" s="21"/>
    </row>
    <row r="1366" spans="1:22" s="2" customFormat="1" ht="30" customHeight="1" x14ac:dyDescent="0.25">
      <c r="A1366" s="669">
        <f>A1364+1</f>
        <v>383</v>
      </c>
      <c r="B1366" s="388" t="s">
        <v>41</v>
      </c>
      <c r="C1366" s="389" t="s">
        <v>672</v>
      </c>
      <c r="D1366" s="524">
        <f t="shared" si="103"/>
        <v>1724</v>
      </c>
      <c r="E1366" s="427" t="s">
        <v>171</v>
      </c>
      <c r="F1366" s="790" t="s">
        <v>263</v>
      </c>
      <c r="G1366" s="924"/>
      <c r="H1366" s="922" t="s">
        <v>854</v>
      </c>
      <c r="I1366" s="923"/>
      <c r="J1366" s="198" t="str">
        <f>IF(LEN(F1366)&gt;0,"","Belum Terisi")</f>
        <v/>
      </c>
      <c r="K1366" s="31"/>
      <c r="L1366" s="43"/>
      <c r="M1366" s="21"/>
      <c r="N1366" s="21"/>
      <c r="O1366" s="21"/>
      <c r="P1366" s="21"/>
      <c r="Q1366" s="21"/>
      <c r="R1366" s="21"/>
      <c r="S1366" s="21"/>
      <c r="T1366" s="21"/>
      <c r="U1366" s="21"/>
      <c r="V1366" s="21"/>
    </row>
    <row r="1367" spans="1:22" s="2" customFormat="1" ht="30" customHeight="1" x14ac:dyDescent="0.25">
      <c r="A1367" s="670"/>
      <c r="B1367" s="388" t="s">
        <v>139</v>
      </c>
      <c r="C1367" s="389" t="s">
        <v>673</v>
      </c>
      <c r="D1367" s="524">
        <f t="shared" si="103"/>
        <v>1725</v>
      </c>
      <c r="E1367" s="427" t="s">
        <v>171</v>
      </c>
      <c r="F1367" s="774" t="s">
        <v>263</v>
      </c>
      <c r="G1367" s="924"/>
      <c r="H1367" s="922"/>
      <c r="I1367" s="923"/>
      <c r="J1367" s="198" t="str">
        <f>IF(F1367="","Belum Terisi",IF(AND(F1366="Tidak Ada",F1367&lt;&gt;"Tidak Ada"),"CEK",IF(AND(F1366&lt;&gt;"Tidak Ada",F1367="Tidak Ada"),"CEK","")))</f>
        <v/>
      </c>
      <c r="K1367" s="31" t="str">
        <f>IF(J1367="CEK",F1366&amp;" Jembatan Gantung di Desa","")</f>
        <v/>
      </c>
      <c r="L1367" s="43"/>
      <c r="M1367" s="21"/>
      <c r="N1367" s="21"/>
      <c r="O1367" s="21"/>
      <c r="P1367" s="21"/>
      <c r="Q1367" s="21"/>
      <c r="R1367" s="21"/>
      <c r="S1367" s="21"/>
      <c r="T1367" s="21"/>
      <c r="U1367" s="21"/>
      <c r="V1367" s="21"/>
    </row>
    <row r="1368" spans="1:22" s="2" customFormat="1" ht="30" customHeight="1" x14ac:dyDescent="0.25">
      <c r="A1368" s="669">
        <f>A1366+1</f>
        <v>384</v>
      </c>
      <c r="B1368" s="388" t="s">
        <v>41</v>
      </c>
      <c r="C1368" s="389" t="s">
        <v>674</v>
      </c>
      <c r="D1368" s="524">
        <f t="shared" si="103"/>
        <v>1726</v>
      </c>
      <c r="E1368" s="427" t="s">
        <v>171</v>
      </c>
      <c r="F1368" s="790" t="s">
        <v>285</v>
      </c>
      <c r="G1368" s="924"/>
      <c r="H1368" s="922"/>
      <c r="I1368" s="923"/>
      <c r="J1368" s="198" t="str">
        <f t="shared" ref="J1368:J1374" si="104">IF(LEN(F1368)&gt;0,"","Belum Terisi")</f>
        <v/>
      </c>
      <c r="K1368" s="31"/>
      <c r="L1368" s="43"/>
      <c r="M1368" s="21"/>
      <c r="N1368" s="21"/>
      <c r="O1368" s="21"/>
      <c r="P1368" s="21"/>
      <c r="Q1368" s="21"/>
      <c r="R1368" s="21"/>
      <c r="S1368" s="21"/>
      <c r="T1368" s="21"/>
      <c r="U1368" s="21"/>
      <c r="V1368" s="21"/>
    </row>
    <row r="1369" spans="1:22" s="2" customFormat="1" ht="30" customHeight="1" x14ac:dyDescent="0.25">
      <c r="A1369" s="671"/>
      <c r="B1369" s="388" t="s">
        <v>139</v>
      </c>
      <c r="C1369" s="389" t="s">
        <v>677</v>
      </c>
      <c r="D1369" s="524">
        <f t="shared" si="103"/>
        <v>1727</v>
      </c>
      <c r="E1369" s="427" t="s">
        <v>171</v>
      </c>
      <c r="F1369" s="791" t="s">
        <v>263</v>
      </c>
      <c r="G1369" s="924"/>
      <c r="H1369" s="922"/>
      <c r="I1369" s="923"/>
      <c r="J1369" s="198" t="str">
        <f t="shared" si="104"/>
        <v/>
      </c>
      <c r="K1369" s="31"/>
      <c r="L1369" s="43"/>
      <c r="M1369" s="21"/>
      <c r="N1369" s="21"/>
      <c r="O1369" s="21"/>
      <c r="P1369" s="21"/>
      <c r="Q1369" s="21"/>
      <c r="R1369" s="21"/>
      <c r="S1369" s="21"/>
      <c r="T1369" s="21"/>
      <c r="U1369" s="21"/>
      <c r="V1369" s="21"/>
    </row>
    <row r="1370" spans="1:22" s="2" customFormat="1" ht="30" customHeight="1" x14ac:dyDescent="0.25">
      <c r="A1370" s="671"/>
      <c r="B1370" s="388" t="s">
        <v>251</v>
      </c>
      <c r="C1370" s="389" t="s">
        <v>675</v>
      </c>
      <c r="D1370" s="524">
        <f t="shared" si="103"/>
        <v>1728</v>
      </c>
      <c r="E1370" s="427" t="s">
        <v>171</v>
      </c>
      <c r="F1370" s="791" t="s">
        <v>263</v>
      </c>
      <c r="G1370" s="924"/>
      <c r="H1370" s="922"/>
      <c r="I1370" s="923"/>
      <c r="J1370" s="198" t="str">
        <f t="shared" si="104"/>
        <v/>
      </c>
      <c r="K1370" s="31"/>
      <c r="L1370" s="43"/>
      <c r="M1370" s="21"/>
      <c r="N1370" s="21"/>
      <c r="O1370" s="21"/>
      <c r="P1370" s="21"/>
      <c r="Q1370" s="21"/>
      <c r="R1370" s="21"/>
      <c r="S1370" s="21"/>
      <c r="T1370" s="21"/>
      <c r="U1370" s="21"/>
      <c r="V1370" s="21"/>
    </row>
    <row r="1371" spans="1:22" s="2" customFormat="1" ht="30" customHeight="1" x14ac:dyDescent="0.25">
      <c r="A1371" s="670"/>
      <c r="B1371" s="388" t="s">
        <v>255</v>
      </c>
      <c r="C1371" s="389" t="s">
        <v>676</v>
      </c>
      <c r="D1371" s="524">
        <f t="shared" si="103"/>
        <v>1729</v>
      </c>
      <c r="E1371" s="427" t="s">
        <v>171</v>
      </c>
      <c r="F1371" s="774" t="s">
        <v>263</v>
      </c>
      <c r="G1371" s="924"/>
      <c r="H1371" s="922"/>
      <c r="I1371" s="923"/>
      <c r="J1371" s="198" t="str">
        <f t="shared" si="104"/>
        <v/>
      </c>
      <c r="K1371" s="31"/>
      <c r="L1371" s="43"/>
      <c r="M1371" s="21"/>
      <c r="N1371" s="21"/>
      <c r="O1371" s="21"/>
      <c r="P1371" s="21"/>
      <c r="Q1371" s="21"/>
      <c r="R1371" s="21"/>
      <c r="S1371" s="21"/>
      <c r="T1371" s="21"/>
      <c r="U1371" s="21"/>
      <c r="V1371" s="21"/>
    </row>
    <row r="1372" spans="1:22" s="2" customFormat="1" ht="30" customHeight="1" x14ac:dyDescent="0.25">
      <c r="A1372" s="669">
        <f>A1368+1</f>
        <v>385</v>
      </c>
      <c r="B1372" s="388" t="s">
        <v>41</v>
      </c>
      <c r="C1372" s="389" t="s">
        <v>2427</v>
      </c>
      <c r="D1372" s="524">
        <f t="shared" si="103"/>
        <v>1730</v>
      </c>
      <c r="E1372" s="445" t="s">
        <v>171</v>
      </c>
      <c r="F1372" s="693" t="s">
        <v>285</v>
      </c>
      <c r="G1372" s="924"/>
      <c r="H1372" s="922"/>
      <c r="I1372" s="923"/>
      <c r="J1372" s="198" t="str">
        <f t="shared" si="104"/>
        <v/>
      </c>
      <c r="K1372" s="31"/>
      <c r="L1372" s="31"/>
      <c r="M1372" s="21"/>
      <c r="N1372" s="21"/>
      <c r="O1372" s="21"/>
      <c r="P1372" s="21"/>
      <c r="Q1372" s="21"/>
      <c r="R1372" s="21"/>
      <c r="S1372" s="21"/>
      <c r="T1372" s="21"/>
      <c r="U1372" s="21"/>
      <c r="V1372" s="21"/>
    </row>
    <row r="1373" spans="1:22" s="2" customFormat="1" ht="30" customHeight="1" x14ac:dyDescent="0.25">
      <c r="A1373" s="671"/>
      <c r="B1373" s="388" t="s">
        <v>139</v>
      </c>
      <c r="C1373" s="389" t="s">
        <v>2428</v>
      </c>
      <c r="D1373" s="524">
        <f t="shared" si="103"/>
        <v>1731</v>
      </c>
      <c r="E1373" s="445" t="s">
        <v>171</v>
      </c>
      <c r="F1373" s="694" t="s">
        <v>263</v>
      </c>
      <c r="G1373" s="924"/>
      <c r="H1373" s="922"/>
      <c r="I1373" s="923"/>
      <c r="J1373" s="198" t="str">
        <f t="shared" si="104"/>
        <v/>
      </c>
      <c r="K1373" s="31"/>
      <c r="L1373" s="43"/>
      <c r="M1373" s="21"/>
      <c r="N1373" s="21"/>
      <c r="O1373" s="21"/>
      <c r="P1373" s="21"/>
      <c r="Q1373" s="21"/>
      <c r="R1373" s="21"/>
      <c r="S1373" s="21"/>
      <c r="T1373" s="21"/>
      <c r="U1373" s="21"/>
      <c r="V1373" s="21"/>
    </row>
    <row r="1374" spans="1:22" s="2" customFormat="1" ht="30" customHeight="1" x14ac:dyDescent="0.25">
      <c r="A1374" s="670"/>
      <c r="B1374" s="388" t="s">
        <v>251</v>
      </c>
      <c r="C1374" s="389" t="s">
        <v>2429</v>
      </c>
      <c r="D1374" s="524">
        <f t="shared" si="103"/>
        <v>1732</v>
      </c>
      <c r="E1374" s="445" t="s">
        <v>171</v>
      </c>
      <c r="F1374" s="697" t="s">
        <v>263</v>
      </c>
      <c r="G1374" s="924"/>
      <c r="H1374" s="922"/>
      <c r="I1374" s="923"/>
      <c r="J1374" s="198" t="str">
        <f t="shared" si="104"/>
        <v/>
      </c>
      <c r="K1374" s="31"/>
      <c r="L1374" s="43"/>
      <c r="M1374" s="21"/>
      <c r="N1374" s="21"/>
      <c r="O1374" s="21"/>
      <c r="P1374" s="21"/>
      <c r="Q1374" s="21"/>
      <c r="R1374" s="21"/>
      <c r="S1374" s="21"/>
      <c r="T1374" s="21"/>
      <c r="U1374" s="21"/>
      <c r="V1374" s="21"/>
    </row>
    <row r="1375" spans="1:22" s="2" customFormat="1" ht="30" customHeight="1" x14ac:dyDescent="0.25">
      <c r="A1375" s="672" t="s">
        <v>2430</v>
      </c>
      <c r="B1375" s="386"/>
      <c r="C1375" s="387"/>
      <c r="D1375" s="439"/>
      <c r="E1375" s="446"/>
      <c r="F1375" s="788"/>
      <c r="G1375" s="924"/>
      <c r="H1375" s="922"/>
      <c r="I1375" s="923"/>
      <c r="J1375" s="198"/>
      <c r="K1375" s="31"/>
      <c r="L1375" s="43"/>
      <c r="M1375" s="21"/>
      <c r="N1375" s="21"/>
      <c r="O1375" s="21"/>
      <c r="P1375" s="21"/>
      <c r="Q1375" s="21"/>
      <c r="R1375" s="21"/>
      <c r="S1375" s="21"/>
      <c r="T1375" s="21"/>
      <c r="U1375" s="21"/>
      <c r="V1375" s="21"/>
    </row>
    <row r="1376" spans="1:22" s="2" customFormat="1" ht="30" customHeight="1" x14ac:dyDescent="0.25">
      <c r="A1376" s="669">
        <f>A1372+1</f>
        <v>386</v>
      </c>
      <c r="B1376" s="388" t="s">
        <v>41</v>
      </c>
      <c r="C1376" s="389" t="s">
        <v>2431</v>
      </c>
      <c r="D1376" s="525">
        <f>D1374+1</f>
        <v>1733</v>
      </c>
      <c r="E1376" s="445" t="s">
        <v>81</v>
      </c>
      <c r="F1376" s="832">
        <v>18500000</v>
      </c>
      <c r="G1376" s="924"/>
      <c r="H1376" s="922"/>
      <c r="I1376" s="923"/>
      <c r="J1376" s="198" t="str">
        <f t="shared" ref="J1376:J1391" si="105">IF(LEN(F1376)&gt;0,"","Belum Terisi")</f>
        <v/>
      </c>
      <c r="K1376" s="31"/>
      <c r="L1376" s="43"/>
      <c r="M1376" s="21"/>
      <c r="N1376" s="21"/>
      <c r="O1376" s="21"/>
      <c r="P1376" s="21"/>
      <c r="Q1376" s="21"/>
      <c r="R1376" s="21"/>
      <c r="S1376" s="21"/>
      <c r="T1376" s="21"/>
      <c r="U1376" s="21"/>
      <c r="V1376" s="21"/>
    </row>
    <row r="1377" spans="1:22" s="2" customFormat="1" ht="30" customHeight="1" x14ac:dyDescent="0.25">
      <c r="A1377" s="670"/>
      <c r="B1377" s="388" t="s">
        <v>139</v>
      </c>
      <c r="C1377" s="389" t="s">
        <v>2432</v>
      </c>
      <c r="D1377" s="525">
        <f t="shared" ref="D1377:D1391" si="106">D1376+1</f>
        <v>1734</v>
      </c>
      <c r="E1377" s="445" t="s">
        <v>81</v>
      </c>
      <c r="F1377" s="833">
        <v>33000000</v>
      </c>
      <c r="G1377" s="924"/>
      <c r="H1377" s="922"/>
      <c r="I1377" s="923"/>
      <c r="J1377" s="198" t="str">
        <f t="shared" si="105"/>
        <v/>
      </c>
      <c r="K1377" s="31"/>
      <c r="L1377" s="31"/>
      <c r="M1377" s="21"/>
      <c r="N1377" s="21"/>
      <c r="O1377" s="21"/>
      <c r="P1377" s="21"/>
      <c r="Q1377" s="21"/>
      <c r="R1377" s="21"/>
      <c r="S1377" s="21"/>
      <c r="T1377" s="21"/>
      <c r="U1377" s="21"/>
      <c r="V1377" s="21"/>
    </row>
    <row r="1378" spans="1:22" s="2" customFormat="1" ht="30" customHeight="1" x14ac:dyDescent="0.25">
      <c r="A1378" s="669">
        <f>A1376+1</f>
        <v>387</v>
      </c>
      <c r="B1378" s="388" t="s">
        <v>41</v>
      </c>
      <c r="C1378" s="389" t="s">
        <v>2433</v>
      </c>
      <c r="D1378" s="525">
        <f t="shared" si="106"/>
        <v>1735</v>
      </c>
      <c r="E1378" s="445" t="s">
        <v>81</v>
      </c>
      <c r="F1378" s="832">
        <v>936915000</v>
      </c>
      <c r="G1378" s="924"/>
      <c r="H1378" s="922"/>
      <c r="I1378" s="923"/>
      <c r="J1378" s="198" t="str">
        <f t="shared" si="105"/>
        <v/>
      </c>
      <c r="K1378" s="31"/>
      <c r="L1378" s="43"/>
      <c r="M1378" s="21"/>
      <c r="N1378" s="21"/>
      <c r="O1378" s="21"/>
      <c r="P1378" s="21"/>
      <c r="Q1378" s="21"/>
      <c r="R1378" s="21"/>
      <c r="S1378" s="21"/>
      <c r="T1378" s="21"/>
      <c r="U1378" s="21"/>
      <c r="V1378" s="21"/>
    </row>
    <row r="1379" spans="1:22" s="2" customFormat="1" ht="30" customHeight="1" x14ac:dyDescent="0.25">
      <c r="A1379" s="670"/>
      <c r="B1379" s="388" t="s">
        <v>139</v>
      </c>
      <c r="C1379" s="389" t="s">
        <v>2434</v>
      </c>
      <c r="D1379" s="525">
        <f t="shared" si="106"/>
        <v>1736</v>
      </c>
      <c r="E1379" s="445" t="s">
        <v>81</v>
      </c>
      <c r="F1379" s="833">
        <v>1030004000</v>
      </c>
      <c r="G1379" s="924"/>
      <c r="H1379" s="922"/>
      <c r="I1379" s="923"/>
      <c r="J1379" s="198" t="str">
        <f t="shared" si="105"/>
        <v/>
      </c>
      <c r="K1379" s="31"/>
      <c r="L1379" s="43"/>
      <c r="M1379" s="21"/>
      <c r="N1379" s="21"/>
      <c r="O1379" s="21"/>
      <c r="P1379" s="21"/>
      <c r="Q1379" s="21"/>
      <c r="R1379" s="21"/>
      <c r="S1379" s="21"/>
      <c r="T1379" s="21"/>
      <c r="U1379" s="21"/>
      <c r="V1379" s="21"/>
    </row>
    <row r="1380" spans="1:22" s="2" customFormat="1" ht="30" customHeight="1" x14ac:dyDescent="0.25">
      <c r="A1380" s="669">
        <f>A1378+1</f>
        <v>388</v>
      </c>
      <c r="B1380" s="388" t="s">
        <v>41</v>
      </c>
      <c r="C1380" s="389" t="s">
        <v>2435</v>
      </c>
      <c r="D1380" s="525">
        <f t="shared" si="106"/>
        <v>1737</v>
      </c>
      <c r="E1380" s="445" t="s">
        <v>81</v>
      </c>
      <c r="F1380" s="832">
        <v>40067861</v>
      </c>
      <c r="G1380" s="924"/>
      <c r="H1380" s="922"/>
      <c r="I1380" s="923"/>
      <c r="J1380" s="198" t="str">
        <f t="shared" si="105"/>
        <v/>
      </c>
      <c r="K1380" s="31"/>
      <c r="L1380" s="43"/>
      <c r="M1380" s="21"/>
      <c r="N1380" s="21"/>
      <c r="O1380" s="21"/>
      <c r="P1380" s="21"/>
      <c r="Q1380" s="21"/>
      <c r="R1380" s="21"/>
      <c r="S1380" s="21"/>
      <c r="T1380" s="21"/>
      <c r="U1380" s="21"/>
      <c r="V1380" s="21"/>
    </row>
    <row r="1381" spans="1:22" s="2" customFormat="1" ht="30" customHeight="1" x14ac:dyDescent="0.25">
      <c r="A1381" s="670"/>
      <c r="B1381" s="388" t="s">
        <v>139</v>
      </c>
      <c r="C1381" s="389" t="s">
        <v>2436</v>
      </c>
      <c r="D1381" s="525">
        <f t="shared" si="106"/>
        <v>1738</v>
      </c>
      <c r="E1381" s="445" t="s">
        <v>81</v>
      </c>
      <c r="F1381" s="834">
        <v>40070860</v>
      </c>
      <c r="G1381" s="924"/>
      <c r="H1381" s="922"/>
      <c r="I1381" s="923"/>
      <c r="J1381" s="198" t="str">
        <f t="shared" si="105"/>
        <v/>
      </c>
      <c r="K1381" s="31"/>
      <c r="L1381" s="31"/>
      <c r="M1381" s="21"/>
      <c r="N1381" s="21"/>
      <c r="O1381" s="21"/>
      <c r="P1381" s="21"/>
      <c r="Q1381" s="21"/>
      <c r="R1381" s="21"/>
      <c r="S1381" s="21"/>
      <c r="T1381" s="21"/>
      <c r="U1381" s="21"/>
      <c r="V1381" s="21"/>
    </row>
    <row r="1382" spans="1:22" s="2" customFormat="1" ht="30" customHeight="1" x14ac:dyDescent="0.25">
      <c r="A1382" s="669">
        <f>A1380+1</f>
        <v>389</v>
      </c>
      <c r="B1382" s="388" t="s">
        <v>41</v>
      </c>
      <c r="C1382" s="389" t="s">
        <v>2437</v>
      </c>
      <c r="D1382" s="525">
        <f t="shared" si="106"/>
        <v>1739</v>
      </c>
      <c r="E1382" s="445" t="s">
        <v>81</v>
      </c>
      <c r="F1382" s="833">
        <v>580498760</v>
      </c>
      <c r="G1382" s="924"/>
      <c r="H1382" s="922"/>
      <c r="I1382" s="923"/>
      <c r="J1382" s="198" t="str">
        <f t="shared" si="105"/>
        <v/>
      </c>
      <c r="K1382" s="31"/>
      <c r="L1382" s="43"/>
      <c r="M1382" s="21"/>
      <c r="N1382" s="21"/>
      <c r="O1382" s="21"/>
      <c r="P1382" s="21"/>
      <c r="Q1382" s="21"/>
      <c r="R1382" s="21"/>
      <c r="S1382" s="21"/>
      <c r="T1382" s="21"/>
      <c r="U1382" s="21"/>
      <c r="V1382" s="21"/>
    </row>
    <row r="1383" spans="1:22" s="2" customFormat="1" ht="30" customHeight="1" x14ac:dyDescent="0.25">
      <c r="A1383" s="670"/>
      <c r="B1383" s="388" t="s">
        <v>139</v>
      </c>
      <c r="C1383" s="389" t="s">
        <v>2438</v>
      </c>
      <c r="D1383" s="525">
        <f t="shared" si="106"/>
        <v>1740</v>
      </c>
      <c r="E1383" s="445" t="s">
        <v>81</v>
      </c>
      <c r="F1383" s="832">
        <v>580498760</v>
      </c>
      <c r="G1383" s="924"/>
      <c r="H1383" s="922"/>
      <c r="I1383" s="923"/>
      <c r="J1383" s="198" t="str">
        <f t="shared" si="105"/>
        <v/>
      </c>
      <c r="K1383" s="31"/>
      <c r="L1383" s="43"/>
      <c r="M1383" s="21"/>
      <c r="N1383" s="21"/>
      <c r="O1383" s="21"/>
      <c r="P1383" s="21"/>
      <c r="Q1383" s="21"/>
      <c r="R1383" s="21"/>
      <c r="S1383" s="21"/>
      <c r="T1383" s="21"/>
      <c r="U1383" s="21"/>
      <c r="V1383" s="21"/>
    </row>
    <row r="1384" spans="1:22" s="2" customFormat="1" ht="30" customHeight="1" x14ac:dyDescent="0.25">
      <c r="A1384" s="669">
        <f>A1382+1</f>
        <v>390</v>
      </c>
      <c r="B1384" s="388" t="s">
        <v>41</v>
      </c>
      <c r="C1384" s="389" t="s">
        <v>2439</v>
      </c>
      <c r="D1384" s="525">
        <f t="shared" si="106"/>
        <v>1741</v>
      </c>
      <c r="E1384" s="445" t="s">
        <v>81</v>
      </c>
      <c r="F1384" s="834">
        <v>0</v>
      </c>
      <c r="G1384" s="924"/>
      <c r="H1384" s="922"/>
      <c r="I1384" s="923"/>
      <c r="J1384" s="198" t="str">
        <f t="shared" si="105"/>
        <v/>
      </c>
      <c r="K1384" s="31"/>
      <c r="L1384" s="43"/>
      <c r="M1384" s="21"/>
      <c r="N1384" s="21"/>
      <c r="O1384" s="21"/>
      <c r="P1384" s="21"/>
      <c r="Q1384" s="21"/>
      <c r="R1384" s="21"/>
      <c r="S1384" s="21"/>
      <c r="T1384" s="21"/>
      <c r="U1384" s="21"/>
      <c r="V1384" s="21"/>
    </row>
    <row r="1385" spans="1:22" s="2" customFormat="1" ht="30" customHeight="1" x14ac:dyDescent="0.25">
      <c r="A1385" s="670"/>
      <c r="B1385" s="388" t="s">
        <v>139</v>
      </c>
      <c r="C1385" s="389" t="s">
        <v>2440</v>
      </c>
      <c r="D1385" s="525">
        <f t="shared" si="106"/>
        <v>1742</v>
      </c>
      <c r="E1385" s="445" t="s">
        <v>81</v>
      </c>
      <c r="F1385" s="833">
        <v>200000000</v>
      </c>
      <c r="G1385" s="924"/>
      <c r="H1385" s="922"/>
      <c r="I1385" s="923"/>
      <c r="J1385" s="198" t="str">
        <f t="shared" si="105"/>
        <v/>
      </c>
      <c r="K1385" s="31"/>
      <c r="L1385" s="31"/>
      <c r="M1385" s="21"/>
      <c r="N1385" s="21"/>
      <c r="O1385" s="21"/>
      <c r="P1385" s="21"/>
      <c r="Q1385" s="21"/>
      <c r="R1385" s="21"/>
      <c r="S1385" s="21"/>
      <c r="T1385" s="21"/>
      <c r="U1385" s="21"/>
      <c r="V1385" s="21"/>
    </row>
    <row r="1386" spans="1:22" s="2" customFormat="1" ht="30" customHeight="1" x14ac:dyDescent="0.25">
      <c r="A1386" s="669">
        <f>A1384+1</f>
        <v>391</v>
      </c>
      <c r="B1386" s="388" t="s">
        <v>41</v>
      </c>
      <c r="C1386" s="389" t="s">
        <v>2441</v>
      </c>
      <c r="D1386" s="525">
        <f t="shared" si="106"/>
        <v>1743</v>
      </c>
      <c r="E1386" s="445" t="s">
        <v>81</v>
      </c>
      <c r="F1386" s="832">
        <v>0</v>
      </c>
      <c r="G1386" s="924"/>
      <c r="H1386" s="922"/>
      <c r="I1386" s="923"/>
      <c r="J1386" s="198" t="str">
        <f t="shared" si="105"/>
        <v/>
      </c>
      <c r="K1386" s="31"/>
      <c r="L1386" s="43"/>
      <c r="M1386" s="21"/>
      <c r="N1386" s="21"/>
      <c r="O1386" s="21"/>
      <c r="P1386" s="21"/>
      <c r="Q1386" s="21"/>
      <c r="R1386" s="21"/>
      <c r="S1386" s="21"/>
      <c r="T1386" s="21"/>
      <c r="U1386" s="21"/>
      <c r="V1386" s="21"/>
    </row>
    <row r="1387" spans="1:22" s="2" customFormat="1" ht="30" customHeight="1" x14ac:dyDescent="0.25">
      <c r="A1387" s="670"/>
      <c r="B1387" s="388" t="s">
        <v>139</v>
      </c>
      <c r="C1387" s="389" t="s">
        <v>2442</v>
      </c>
      <c r="D1387" s="525">
        <f t="shared" si="106"/>
        <v>1744</v>
      </c>
      <c r="E1387" s="445" t="s">
        <v>81</v>
      </c>
      <c r="F1387" s="833">
        <v>150000000</v>
      </c>
      <c r="G1387" s="924"/>
      <c r="H1387" s="922"/>
      <c r="I1387" s="923"/>
      <c r="J1387" s="198" t="str">
        <f t="shared" si="105"/>
        <v/>
      </c>
      <c r="K1387" s="31"/>
      <c r="L1387" s="43"/>
      <c r="M1387" s="21"/>
      <c r="N1387" s="21"/>
      <c r="O1387" s="21"/>
      <c r="P1387" s="21"/>
      <c r="Q1387" s="21"/>
      <c r="R1387" s="21"/>
      <c r="S1387" s="21"/>
      <c r="T1387" s="21"/>
      <c r="U1387" s="21"/>
      <c r="V1387" s="21"/>
    </row>
    <row r="1388" spans="1:22" s="2" customFormat="1" ht="30" customHeight="1" x14ac:dyDescent="0.25">
      <c r="A1388" s="669">
        <f>A1386+1</f>
        <v>392</v>
      </c>
      <c r="B1388" s="388" t="s">
        <v>41</v>
      </c>
      <c r="C1388" s="389" t="s">
        <v>2443</v>
      </c>
      <c r="D1388" s="525">
        <f t="shared" si="106"/>
        <v>1745</v>
      </c>
      <c r="E1388" s="445" t="s">
        <v>81</v>
      </c>
      <c r="F1388" s="832">
        <v>8569918</v>
      </c>
      <c r="G1388" s="924"/>
      <c r="H1388" s="922"/>
      <c r="I1388" s="923"/>
      <c r="J1388" s="198" t="str">
        <f t="shared" si="105"/>
        <v/>
      </c>
      <c r="K1388" s="31"/>
      <c r="L1388" s="43"/>
      <c r="M1388" s="21"/>
      <c r="N1388" s="21"/>
      <c r="O1388" s="21"/>
      <c r="P1388" s="21"/>
      <c r="Q1388" s="21"/>
      <c r="R1388" s="21"/>
      <c r="S1388" s="21"/>
      <c r="T1388" s="21"/>
      <c r="U1388" s="21"/>
      <c r="V1388" s="21"/>
    </row>
    <row r="1389" spans="1:22" s="2" customFormat="1" ht="30" customHeight="1" x14ac:dyDescent="0.25">
      <c r="A1389" s="670"/>
      <c r="B1389" s="388" t="s">
        <v>139</v>
      </c>
      <c r="C1389" s="389" t="s">
        <v>2444</v>
      </c>
      <c r="D1389" s="525">
        <f t="shared" si="106"/>
        <v>1746</v>
      </c>
      <c r="E1389" s="445" t="s">
        <v>81</v>
      </c>
      <c r="F1389" s="833">
        <v>8569918</v>
      </c>
      <c r="G1389" s="924"/>
      <c r="H1389" s="922"/>
      <c r="I1389" s="923"/>
      <c r="J1389" s="198" t="str">
        <f t="shared" si="105"/>
        <v/>
      </c>
      <c r="K1389" s="31"/>
      <c r="L1389" s="31"/>
      <c r="M1389" s="21"/>
      <c r="N1389" s="21"/>
      <c r="O1389" s="21"/>
      <c r="P1389" s="21"/>
      <c r="Q1389" s="21"/>
      <c r="R1389" s="21"/>
      <c r="S1389" s="21"/>
      <c r="T1389" s="21"/>
      <c r="U1389" s="21"/>
      <c r="V1389" s="21"/>
    </row>
    <row r="1390" spans="1:22" s="2" customFormat="1" ht="30" customHeight="1" x14ac:dyDescent="0.25">
      <c r="A1390" s="669">
        <f>A1388+1</f>
        <v>393</v>
      </c>
      <c r="B1390" s="388" t="s">
        <v>41</v>
      </c>
      <c r="C1390" s="389" t="s">
        <v>241</v>
      </c>
      <c r="D1390" s="525">
        <f t="shared" si="106"/>
        <v>1747</v>
      </c>
      <c r="E1390" s="526" t="s">
        <v>504</v>
      </c>
      <c r="F1390" s="835">
        <f>F1377+F1379+F1381+F1383+F1385+F1387+F1389</f>
        <v>2042143538</v>
      </c>
      <c r="G1390" s="924"/>
      <c r="H1390" s="922" t="s">
        <v>560</v>
      </c>
      <c r="I1390" s="923"/>
      <c r="J1390" s="198" t="str">
        <f t="shared" si="105"/>
        <v/>
      </c>
      <c r="K1390" s="31"/>
      <c r="L1390" s="43"/>
      <c r="M1390" s="21"/>
      <c r="N1390" s="21"/>
      <c r="O1390" s="21"/>
      <c r="P1390" s="21"/>
      <c r="Q1390" s="21"/>
      <c r="R1390" s="21"/>
      <c r="S1390" s="21"/>
      <c r="T1390" s="21"/>
      <c r="U1390" s="21"/>
      <c r="V1390" s="21"/>
    </row>
    <row r="1391" spans="1:22" s="2" customFormat="1" ht="30" customHeight="1" x14ac:dyDescent="0.25">
      <c r="A1391" s="670"/>
      <c r="B1391" s="388" t="s">
        <v>139</v>
      </c>
      <c r="C1391" s="389" t="s">
        <v>720</v>
      </c>
      <c r="D1391" s="525">
        <f t="shared" si="106"/>
        <v>1748</v>
      </c>
      <c r="E1391" s="526" t="s">
        <v>504</v>
      </c>
      <c r="F1391" s="836">
        <f>F1376+F1378+F1380+F1382+F1384+F1386+F1388</f>
        <v>1584551539</v>
      </c>
      <c r="G1391" s="924"/>
      <c r="H1391" s="922" t="s">
        <v>560</v>
      </c>
      <c r="I1391" s="923"/>
      <c r="J1391" s="198" t="str">
        <f t="shared" si="105"/>
        <v/>
      </c>
      <c r="K1391" s="31"/>
      <c r="L1391" s="43"/>
      <c r="M1391" s="21"/>
      <c r="N1391" s="21"/>
      <c r="O1391" s="21"/>
      <c r="P1391" s="21"/>
      <c r="Q1391" s="21"/>
      <c r="R1391" s="21"/>
      <c r="S1391" s="21"/>
      <c r="T1391" s="21"/>
      <c r="U1391" s="21"/>
      <c r="V1391" s="21"/>
    </row>
    <row r="1392" spans="1:22" s="2" customFormat="1" ht="30" customHeight="1" x14ac:dyDescent="0.25">
      <c r="A1392" s="672" t="s">
        <v>2445</v>
      </c>
      <c r="B1392" s="386"/>
      <c r="C1392" s="387"/>
      <c r="D1392" s="439"/>
      <c r="E1392" s="446"/>
      <c r="F1392" s="788"/>
      <c r="G1392" s="924"/>
      <c r="H1392" s="922"/>
      <c r="I1392" s="923"/>
      <c r="J1392" s="198"/>
      <c r="K1392" s="31"/>
      <c r="L1392" s="43"/>
      <c r="M1392" s="21"/>
      <c r="N1392" s="21"/>
      <c r="O1392" s="21"/>
      <c r="P1392" s="21"/>
      <c r="Q1392" s="21"/>
      <c r="R1392" s="21"/>
      <c r="S1392" s="21"/>
      <c r="T1392" s="21"/>
      <c r="U1392" s="21"/>
      <c r="V1392" s="21"/>
    </row>
    <row r="1393" spans="1:22" s="2" customFormat="1" ht="30" customHeight="1" x14ac:dyDescent="0.25">
      <c r="A1393" s="669">
        <f>A1390+1</f>
        <v>394</v>
      </c>
      <c r="B1393" s="388" t="s">
        <v>41</v>
      </c>
      <c r="C1393" s="389" t="s">
        <v>2446</v>
      </c>
      <c r="D1393" s="524">
        <f>D1391+1</f>
        <v>1749</v>
      </c>
      <c r="E1393" s="427" t="s">
        <v>171</v>
      </c>
      <c r="F1393" s="693" t="s">
        <v>285</v>
      </c>
      <c r="G1393" s="924"/>
      <c r="H1393" s="922"/>
      <c r="I1393" s="923"/>
      <c r="J1393" s="198" t="str">
        <f>IF(LEN(F1393)&gt;0,"","Belum Terisi")</f>
        <v/>
      </c>
      <c r="K1393" s="31"/>
      <c r="L1393" s="31"/>
      <c r="M1393" s="21"/>
      <c r="N1393" s="21"/>
      <c r="O1393" s="21"/>
      <c r="P1393" s="21"/>
      <c r="Q1393" s="21"/>
      <c r="R1393" s="21"/>
      <c r="S1393" s="21"/>
      <c r="T1393" s="21"/>
      <c r="U1393" s="21"/>
      <c r="V1393" s="21"/>
    </row>
    <row r="1394" spans="1:22" s="2" customFormat="1" ht="30" customHeight="1" x14ac:dyDescent="0.25">
      <c r="A1394" s="671"/>
      <c r="B1394" s="388" t="s">
        <v>139</v>
      </c>
      <c r="C1394" s="389" t="s">
        <v>2447</v>
      </c>
      <c r="D1394" s="525">
        <f t="shared" ref="D1394:D1396" si="107">D1393+1</f>
        <v>1750</v>
      </c>
      <c r="E1394" s="427" t="s">
        <v>171</v>
      </c>
      <c r="F1394" s="694" t="s">
        <v>263</v>
      </c>
      <c r="G1394" s="924"/>
      <c r="H1394" s="922"/>
      <c r="I1394" s="923"/>
      <c r="J1394" s="198" t="str">
        <f>IF(LEN(F1394)&gt;0,"","Belum Terisi")</f>
        <v/>
      </c>
      <c r="K1394" s="31"/>
      <c r="L1394" s="43"/>
      <c r="M1394" s="21"/>
      <c r="N1394" s="21"/>
      <c r="O1394" s="21"/>
      <c r="P1394" s="21"/>
      <c r="Q1394" s="21"/>
      <c r="R1394" s="21"/>
      <c r="S1394" s="21"/>
      <c r="T1394" s="21"/>
      <c r="U1394" s="21"/>
      <c r="V1394" s="21"/>
    </row>
    <row r="1395" spans="1:22" s="2" customFormat="1" ht="30" customHeight="1" x14ac:dyDescent="0.25">
      <c r="A1395" s="671"/>
      <c r="B1395" s="388" t="s">
        <v>251</v>
      </c>
      <c r="C1395" s="389" t="s">
        <v>2448</v>
      </c>
      <c r="D1395" s="525">
        <f t="shared" si="107"/>
        <v>1751</v>
      </c>
      <c r="E1395" s="427" t="s">
        <v>171</v>
      </c>
      <c r="F1395" s="694" t="s">
        <v>263</v>
      </c>
      <c r="G1395" s="924"/>
      <c r="H1395" s="922"/>
      <c r="I1395" s="923"/>
      <c r="J1395" s="198" t="str">
        <f>IF(LEN(F1395)&gt;0,"","Belum Terisi")</f>
        <v/>
      </c>
      <c r="K1395" s="31"/>
      <c r="L1395" s="43"/>
      <c r="M1395" s="21"/>
      <c r="N1395" s="21"/>
      <c r="O1395" s="21"/>
      <c r="P1395" s="21"/>
      <c r="Q1395" s="21"/>
      <c r="R1395" s="21"/>
      <c r="S1395" s="21"/>
      <c r="T1395" s="21"/>
      <c r="U1395" s="21"/>
      <c r="V1395" s="21"/>
    </row>
    <row r="1396" spans="1:22" s="2" customFormat="1" ht="30" customHeight="1" x14ac:dyDescent="0.25">
      <c r="A1396" s="670"/>
      <c r="B1396" s="388" t="s">
        <v>255</v>
      </c>
      <c r="C1396" s="389" t="s">
        <v>2449</v>
      </c>
      <c r="D1396" s="525">
        <f t="shared" si="107"/>
        <v>1752</v>
      </c>
      <c r="E1396" s="427" t="s">
        <v>171</v>
      </c>
      <c r="F1396" s="697" t="s">
        <v>263</v>
      </c>
      <c r="G1396" s="924"/>
      <c r="H1396" s="922"/>
      <c r="I1396" s="923"/>
      <c r="J1396" s="198" t="str">
        <f>IF(LEN(F1396)&gt;0,"","Belum Terisi")</f>
        <v/>
      </c>
      <c r="K1396" s="31"/>
      <c r="L1396" s="31"/>
      <c r="M1396" s="21"/>
      <c r="N1396" s="21"/>
      <c r="O1396" s="21"/>
      <c r="P1396" s="21"/>
      <c r="Q1396" s="21"/>
      <c r="R1396" s="21"/>
      <c r="S1396" s="21"/>
      <c r="T1396" s="21"/>
      <c r="U1396" s="21"/>
      <c r="V1396" s="21"/>
    </row>
    <row r="1397" spans="1:22" s="2" customFormat="1" ht="30" customHeight="1" x14ac:dyDescent="0.25">
      <c r="A1397" s="889">
        <f>A1393+1</f>
        <v>395</v>
      </c>
      <c r="B1397" s="890"/>
      <c r="C1397" s="389" t="s">
        <v>708</v>
      </c>
      <c r="D1397" s="488"/>
      <c r="E1397" s="446"/>
      <c r="F1397" s="788"/>
      <c r="G1397" s="927"/>
      <c r="H1397" s="928"/>
      <c r="I1397" s="923"/>
      <c r="J1397" s="198"/>
      <c r="K1397" s="31"/>
      <c r="L1397" s="31"/>
      <c r="M1397" s="21"/>
      <c r="N1397" s="21"/>
      <c r="O1397" s="21"/>
      <c r="P1397" s="21"/>
      <c r="Q1397" s="21"/>
      <c r="R1397" s="21"/>
      <c r="S1397" s="21"/>
      <c r="T1397" s="21"/>
      <c r="U1397" s="21"/>
      <c r="V1397" s="21" t="s">
        <v>636</v>
      </c>
    </row>
    <row r="1398" spans="1:22" s="2" customFormat="1" ht="30" customHeight="1" x14ac:dyDescent="0.25">
      <c r="A1398" s="671"/>
      <c r="B1398" s="388" t="s">
        <v>41</v>
      </c>
      <c r="C1398" s="389" t="s">
        <v>2460</v>
      </c>
      <c r="D1398" s="524">
        <f>D1396+1</f>
        <v>1753</v>
      </c>
      <c r="E1398" s="463" t="s">
        <v>171</v>
      </c>
      <c r="F1398" s="837" t="s">
        <v>263</v>
      </c>
      <c r="G1398" s="927"/>
      <c r="H1398" s="928"/>
      <c r="I1398" s="923"/>
      <c r="J1398" s="198" t="str">
        <f>IF(LEN(F1398)&gt;0,"","Belum Terisi")</f>
        <v/>
      </c>
      <c r="K1398" s="31"/>
      <c r="L1398" s="31"/>
      <c r="M1398" s="21"/>
      <c r="N1398" s="21"/>
      <c r="O1398" s="21"/>
      <c r="P1398" s="21"/>
      <c r="Q1398" s="21"/>
      <c r="R1398" s="21"/>
      <c r="S1398" s="21"/>
      <c r="T1398" s="21"/>
      <c r="U1398" s="21"/>
      <c r="V1398" s="21" t="s">
        <v>636</v>
      </c>
    </row>
    <row r="1399" spans="1:22" s="2" customFormat="1" ht="30" customHeight="1" x14ac:dyDescent="0.25">
      <c r="A1399" s="671"/>
      <c r="B1399" s="388" t="s">
        <v>139</v>
      </c>
      <c r="C1399" s="389" t="s">
        <v>2461</v>
      </c>
      <c r="D1399" s="524">
        <f t="shared" ref="D1399:D1401" si="108">D1398+1</f>
        <v>1754</v>
      </c>
      <c r="E1399" s="463" t="s">
        <v>171</v>
      </c>
      <c r="F1399" s="820" t="s">
        <v>285</v>
      </c>
      <c r="G1399" s="927"/>
      <c r="H1399" s="928"/>
      <c r="I1399" s="923"/>
      <c r="J1399" s="198" t="str">
        <f>IF(LEN(F1399)&gt;0,"","Belum Terisi")</f>
        <v/>
      </c>
      <c r="K1399" s="31"/>
      <c r="L1399" s="31"/>
      <c r="M1399" s="21"/>
      <c r="N1399" s="21"/>
      <c r="O1399" s="21"/>
      <c r="P1399" s="21"/>
      <c r="Q1399" s="21"/>
      <c r="R1399" s="21"/>
      <c r="S1399" s="21"/>
      <c r="T1399" s="21"/>
      <c r="U1399" s="21"/>
      <c r="V1399" s="21" t="s">
        <v>636</v>
      </c>
    </row>
    <row r="1400" spans="1:22" s="2" customFormat="1" ht="30" customHeight="1" x14ac:dyDescent="0.25">
      <c r="A1400" s="671"/>
      <c r="B1400" s="388" t="s">
        <v>251</v>
      </c>
      <c r="C1400" s="389" t="s">
        <v>738</v>
      </c>
      <c r="D1400" s="524">
        <f t="shared" si="108"/>
        <v>1755</v>
      </c>
      <c r="E1400" s="463" t="s">
        <v>171</v>
      </c>
      <c r="F1400" s="820" t="s">
        <v>285</v>
      </c>
      <c r="G1400" s="927"/>
      <c r="H1400" s="928"/>
      <c r="I1400" s="923"/>
      <c r="J1400" s="198" t="str">
        <f>IF(LEN(F1400)&gt;0,"","Belum Terisi")</f>
        <v/>
      </c>
      <c r="K1400" s="31"/>
      <c r="L1400" s="31"/>
      <c r="M1400" s="21"/>
      <c r="N1400" s="21"/>
      <c r="O1400" s="21"/>
      <c r="P1400" s="21"/>
      <c r="Q1400" s="21"/>
      <c r="R1400" s="21"/>
      <c r="S1400" s="21"/>
      <c r="T1400" s="21"/>
      <c r="U1400" s="21"/>
      <c r="V1400" s="21" t="s">
        <v>636</v>
      </c>
    </row>
    <row r="1401" spans="1:22" s="2" customFormat="1" ht="30" customHeight="1" x14ac:dyDescent="0.25">
      <c r="A1401" s="670"/>
      <c r="B1401" s="388" t="s">
        <v>255</v>
      </c>
      <c r="C1401" s="389" t="s">
        <v>2462</v>
      </c>
      <c r="D1401" s="524">
        <f t="shared" si="108"/>
        <v>1756</v>
      </c>
      <c r="E1401" s="463" t="s">
        <v>171</v>
      </c>
      <c r="F1401" s="838" t="s">
        <v>285</v>
      </c>
      <c r="G1401" s="927"/>
      <c r="H1401" s="928"/>
      <c r="I1401" s="923"/>
      <c r="J1401" s="198" t="str">
        <f>IF(LEN(F1401)&gt;0,"","Belum Terisi")</f>
        <v/>
      </c>
      <c r="K1401" s="31"/>
      <c r="L1401" s="31"/>
      <c r="M1401" s="21"/>
      <c r="N1401" s="21"/>
      <c r="O1401" s="21"/>
      <c r="P1401" s="21"/>
      <c r="Q1401" s="21"/>
      <c r="R1401" s="21"/>
      <c r="S1401" s="21"/>
      <c r="T1401" s="21"/>
      <c r="U1401" s="21"/>
      <c r="V1401" s="21" t="s">
        <v>636</v>
      </c>
    </row>
    <row r="1402" spans="1:22" s="2" customFormat="1" ht="30" customHeight="1" x14ac:dyDescent="0.25">
      <c r="A1402" s="673" t="s">
        <v>219</v>
      </c>
      <c r="B1402" s="390"/>
      <c r="C1402" s="390"/>
      <c r="D1402" s="527"/>
      <c r="E1402" s="446"/>
      <c r="F1402" s="788"/>
      <c r="G1402" s="924"/>
      <c r="H1402" s="922"/>
      <c r="I1402" s="923"/>
      <c r="J1402" s="98"/>
      <c r="K1402" s="31"/>
      <c r="L1402" s="43"/>
      <c r="M1402" s="21"/>
      <c r="N1402" s="21"/>
      <c r="O1402" s="21"/>
      <c r="P1402" s="21"/>
      <c r="Q1402" s="21"/>
      <c r="R1402" s="21"/>
      <c r="S1402" s="21"/>
      <c r="T1402" s="21"/>
      <c r="U1402" s="21"/>
      <c r="V1402" s="21"/>
    </row>
    <row r="1403" spans="1:22" s="2" customFormat="1" ht="30" customHeight="1" x14ac:dyDescent="0.25">
      <c r="A1403" s="669">
        <f>A1397+1</f>
        <v>396</v>
      </c>
      <c r="B1403" s="388" t="s">
        <v>41</v>
      </c>
      <c r="C1403" s="389" t="s">
        <v>132</v>
      </c>
      <c r="D1403" s="524">
        <f>D1401+1</f>
        <v>1757</v>
      </c>
      <c r="E1403" s="427" t="s">
        <v>51</v>
      </c>
      <c r="F1403" s="718">
        <v>7500</v>
      </c>
      <c r="G1403" s="924"/>
      <c r="H1403" s="922"/>
      <c r="I1403" s="923"/>
      <c r="J1403" s="198" t="str">
        <f>IF(LEN(F1403)&gt;0,"","Belum Terisi")</f>
        <v/>
      </c>
      <c r="K1403" s="31"/>
      <c r="L1403" s="43"/>
      <c r="M1403" s="21"/>
      <c r="N1403" s="21"/>
      <c r="O1403" s="21"/>
      <c r="P1403" s="21"/>
      <c r="Q1403" s="21"/>
      <c r="R1403" s="21"/>
      <c r="S1403" s="21"/>
      <c r="T1403" s="21"/>
      <c r="U1403" s="21"/>
      <c r="V1403" s="21"/>
    </row>
    <row r="1404" spans="1:22" s="2" customFormat="1" ht="30" customHeight="1" x14ac:dyDescent="0.25">
      <c r="A1404" s="671"/>
      <c r="B1404" s="388" t="s">
        <v>139</v>
      </c>
      <c r="C1404" s="389" t="s">
        <v>133</v>
      </c>
      <c r="D1404" s="525">
        <f>D1403+1</f>
        <v>1758</v>
      </c>
      <c r="E1404" s="28" t="s">
        <v>261</v>
      </c>
      <c r="F1404" s="912" t="str">
        <f>INT(F1403/(35*1000))&amp;" Jam "&amp;
INT(MOD((F1403/(35*1000))*60,60))&amp;" Menit "&amp;
INT(MOD((F1403/(35*1000))*3600,60))&amp;" Detik "</f>
        <v xml:space="preserve">0 Jam 12 Menit 51 Detik </v>
      </c>
      <c r="G1404" s="924"/>
      <c r="H1404" s="922"/>
      <c r="I1404" s="923"/>
      <c r="J1404" s="198" t="str">
        <f>IF(LEN(F1404)&gt;0,"","Belum Terisi")</f>
        <v/>
      </c>
      <c r="K1404" s="31"/>
      <c r="L1404" s="31"/>
      <c r="M1404" s="21"/>
      <c r="N1404" s="21"/>
      <c r="O1404" s="21"/>
      <c r="P1404" s="21"/>
      <c r="Q1404" s="21"/>
      <c r="R1404" s="21"/>
      <c r="S1404" s="21"/>
      <c r="T1404" s="21"/>
      <c r="U1404" s="21"/>
      <c r="V1404" s="21"/>
    </row>
    <row r="1405" spans="1:22" s="2" customFormat="1" ht="30" customHeight="1" x14ac:dyDescent="0.25">
      <c r="A1405" s="671"/>
      <c r="B1405" s="388" t="s">
        <v>251</v>
      </c>
      <c r="C1405" s="389" t="s">
        <v>134</v>
      </c>
      <c r="D1405" s="525">
        <f t="shared" ref="D1405:D1406" si="109">D1404+1</f>
        <v>1759</v>
      </c>
      <c r="E1405" s="427" t="s">
        <v>138</v>
      </c>
      <c r="F1405" s="839">
        <v>30000</v>
      </c>
      <c r="G1405" s="924"/>
      <c r="H1405" s="922"/>
      <c r="I1405" s="923"/>
      <c r="J1405" s="198" t="str">
        <f>IF(LEN(F1405)&gt;0,"","Belum Terisi")</f>
        <v/>
      </c>
      <c r="K1405" s="31"/>
      <c r="L1405" s="43"/>
      <c r="M1405" s="21"/>
      <c r="N1405" s="21"/>
      <c r="O1405" s="21"/>
      <c r="P1405" s="21"/>
      <c r="Q1405" s="21"/>
      <c r="R1405" s="21"/>
      <c r="S1405" s="21"/>
      <c r="T1405" s="21"/>
      <c r="U1405" s="21"/>
      <c r="V1405" s="21"/>
    </row>
    <row r="1406" spans="1:22" s="2" customFormat="1" ht="70.150000000000006" customHeight="1" x14ac:dyDescent="0.25">
      <c r="A1406" s="670"/>
      <c r="B1406" s="388" t="s">
        <v>255</v>
      </c>
      <c r="C1406" s="389" t="s">
        <v>2452</v>
      </c>
      <c r="D1406" s="525">
        <f t="shared" si="109"/>
        <v>1760</v>
      </c>
      <c r="E1406" s="427" t="s">
        <v>174</v>
      </c>
      <c r="F1406" s="840" t="s">
        <v>2843</v>
      </c>
      <c r="G1406" s="924"/>
      <c r="H1406" s="922"/>
      <c r="I1406" s="923"/>
      <c r="J1406" s="198" t="str">
        <f>IF(LEN(F1406)&gt;0,"","Belum Terisi")</f>
        <v/>
      </c>
      <c r="K1406" s="31"/>
      <c r="L1406" s="43"/>
      <c r="M1406" s="21"/>
      <c r="N1406" s="21"/>
      <c r="O1406" s="21"/>
      <c r="P1406" s="21"/>
      <c r="Q1406" s="21"/>
      <c r="R1406" s="21"/>
      <c r="S1406" s="21"/>
      <c r="T1406" s="21"/>
      <c r="U1406" s="21"/>
      <c r="V1406" s="21"/>
    </row>
    <row r="1407" spans="1:22" s="2" customFormat="1" ht="30" customHeight="1" x14ac:dyDescent="0.25">
      <c r="A1407" s="673" t="s">
        <v>220</v>
      </c>
      <c r="B1407" s="390"/>
      <c r="C1407" s="390"/>
      <c r="D1407" s="527"/>
      <c r="E1407" s="429"/>
      <c r="F1407" s="789"/>
      <c r="G1407" s="924"/>
      <c r="H1407" s="922"/>
      <c r="I1407" s="923"/>
      <c r="J1407" s="98"/>
      <c r="K1407" s="31"/>
      <c r="L1407" s="43"/>
      <c r="M1407" s="21"/>
      <c r="N1407" s="21"/>
      <c r="O1407" s="21"/>
      <c r="P1407" s="21"/>
      <c r="Q1407" s="21"/>
      <c r="R1407" s="21"/>
      <c r="S1407" s="21"/>
      <c r="T1407" s="21"/>
      <c r="U1407" s="21"/>
      <c r="V1407" s="21"/>
    </row>
    <row r="1408" spans="1:22" s="2" customFormat="1" ht="30" customHeight="1" x14ac:dyDescent="0.25">
      <c r="A1408" s="669">
        <f>A1403+1</f>
        <v>397</v>
      </c>
      <c r="B1408" s="388" t="s">
        <v>41</v>
      </c>
      <c r="C1408" s="389" t="s">
        <v>135</v>
      </c>
      <c r="D1408" s="525">
        <f>D1406+1</f>
        <v>1761</v>
      </c>
      <c r="E1408" s="427" t="s">
        <v>51</v>
      </c>
      <c r="F1408" s="718">
        <v>20000</v>
      </c>
      <c r="G1408" s="924"/>
      <c r="H1408" s="922"/>
      <c r="I1408" s="923"/>
      <c r="J1408" s="198" t="str">
        <f>IF(LEN(F1408)&gt;0,"","Belum Terisi")</f>
        <v/>
      </c>
      <c r="K1408" s="31"/>
      <c r="L1408" s="31"/>
      <c r="M1408" s="21"/>
      <c r="N1408" s="21"/>
      <c r="O1408" s="21"/>
      <c r="P1408" s="21"/>
      <c r="Q1408" s="21"/>
      <c r="R1408" s="21"/>
      <c r="S1408" s="21"/>
      <c r="T1408" s="21"/>
      <c r="U1408" s="21"/>
      <c r="V1408" s="21"/>
    </row>
    <row r="1409" spans="1:22" s="2" customFormat="1" ht="30" customHeight="1" x14ac:dyDescent="0.25">
      <c r="A1409" s="671"/>
      <c r="B1409" s="388" t="s">
        <v>139</v>
      </c>
      <c r="C1409" s="389" t="s">
        <v>136</v>
      </c>
      <c r="D1409" s="525">
        <f>D1408+1</f>
        <v>1762</v>
      </c>
      <c r="E1409" s="28" t="s">
        <v>261</v>
      </c>
      <c r="F1409" s="912" t="str">
        <f>INT(F1408/(35*1000))&amp;" Jam "&amp;
INT(MOD((F1408/(35*1000))*60,60))&amp;" Menit "&amp;
INT(MOD((F1408/(35*1000))*3600,60))&amp;" Detik "</f>
        <v xml:space="preserve">0 Jam 34 Menit 17 Detik </v>
      </c>
      <c r="G1409" s="924"/>
      <c r="H1409" s="922"/>
      <c r="I1409" s="923"/>
      <c r="J1409" s="198" t="str">
        <f>IF(LEN(F1409)&gt;0,"","Belum Terisi")</f>
        <v/>
      </c>
      <c r="K1409" s="31"/>
      <c r="L1409" s="43"/>
      <c r="M1409" s="21"/>
      <c r="N1409" s="21"/>
      <c r="O1409" s="21"/>
      <c r="P1409" s="21"/>
      <c r="Q1409" s="21"/>
      <c r="R1409" s="21"/>
      <c r="S1409" s="21"/>
      <c r="T1409" s="21"/>
      <c r="U1409" s="21"/>
      <c r="V1409" s="21"/>
    </row>
    <row r="1410" spans="1:22" s="2" customFormat="1" ht="30" customHeight="1" x14ac:dyDescent="0.25">
      <c r="A1410" s="671"/>
      <c r="B1410" s="388" t="s">
        <v>251</v>
      </c>
      <c r="C1410" s="389" t="s">
        <v>137</v>
      </c>
      <c r="D1410" s="525">
        <f t="shared" ref="D1410:D1411" si="110">D1409+1</f>
        <v>1763</v>
      </c>
      <c r="E1410" s="427" t="s">
        <v>138</v>
      </c>
      <c r="F1410" s="839">
        <v>50000</v>
      </c>
      <c r="G1410" s="924"/>
      <c r="H1410" s="922"/>
      <c r="I1410" s="923"/>
      <c r="J1410" s="198" t="str">
        <f>IF(LEN(F1410)&gt;0,"","Belum Terisi")</f>
        <v/>
      </c>
      <c r="K1410" s="31"/>
      <c r="L1410" s="43"/>
      <c r="M1410" s="21"/>
      <c r="N1410" s="21"/>
      <c r="O1410" s="21"/>
      <c r="P1410" s="21"/>
      <c r="Q1410" s="21"/>
      <c r="R1410" s="21"/>
      <c r="S1410" s="21"/>
      <c r="T1410" s="21"/>
      <c r="U1410" s="21"/>
      <c r="V1410" s="21"/>
    </row>
    <row r="1411" spans="1:22" s="2" customFormat="1" ht="70.150000000000006" customHeight="1" x14ac:dyDescent="0.25">
      <c r="A1411" s="670"/>
      <c r="B1411" s="388" t="s">
        <v>255</v>
      </c>
      <c r="C1411" s="389" t="s">
        <v>2453</v>
      </c>
      <c r="D1411" s="525">
        <f t="shared" si="110"/>
        <v>1764</v>
      </c>
      <c r="E1411" s="427" t="s">
        <v>174</v>
      </c>
      <c r="F1411" s="840" t="s">
        <v>2843</v>
      </c>
      <c r="G1411" s="924"/>
      <c r="H1411" s="922"/>
      <c r="I1411" s="923"/>
      <c r="J1411" s="198" t="str">
        <f>IF(LEN(F1411)&gt;0,"","Belum Terisi")</f>
        <v/>
      </c>
      <c r="K1411" s="31"/>
      <c r="L1411" s="43"/>
      <c r="M1411" s="21"/>
      <c r="N1411" s="21"/>
      <c r="O1411" s="21"/>
      <c r="P1411" s="21"/>
      <c r="Q1411" s="21"/>
      <c r="R1411" s="21"/>
      <c r="S1411" s="21"/>
      <c r="T1411" s="21"/>
      <c r="U1411" s="21"/>
      <c r="V1411" s="21"/>
    </row>
    <row r="1412" spans="1:22" s="2" customFormat="1" ht="30" customHeight="1" x14ac:dyDescent="0.25">
      <c r="A1412" s="673" t="s">
        <v>221</v>
      </c>
      <c r="B1412" s="390"/>
      <c r="C1412" s="390"/>
      <c r="D1412" s="527"/>
      <c r="E1412" s="429"/>
      <c r="F1412" s="789"/>
      <c r="G1412" s="924"/>
      <c r="H1412" s="922"/>
      <c r="I1412" s="923"/>
      <c r="J1412" s="98"/>
      <c r="K1412" s="31"/>
      <c r="L1412" s="31"/>
      <c r="M1412" s="21"/>
      <c r="N1412" s="21"/>
      <c r="O1412" s="21"/>
      <c r="P1412" s="21"/>
      <c r="Q1412" s="21"/>
      <c r="R1412" s="21"/>
      <c r="S1412" s="21"/>
      <c r="T1412" s="21"/>
      <c r="U1412" s="21"/>
      <c r="V1412" s="21"/>
    </row>
    <row r="1413" spans="1:22" s="2" customFormat="1" ht="30" customHeight="1" x14ac:dyDescent="0.25">
      <c r="A1413" s="669">
        <f>A1408+1</f>
        <v>398</v>
      </c>
      <c r="B1413" s="388" t="s">
        <v>41</v>
      </c>
      <c r="C1413" s="389" t="s">
        <v>168</v>
      </c>
      <c r="D1413" s="525">
        <f>D1411+1</f>
        <v>1765</v>
      </c>
      <c r="E1413" s="427" t="s">
        <v>51</v>
      </c>
      <c r="F1413" s="718">
        <v>100000</v>
      </c>
      <c r="G1413" s="924"/>
      <c r="H1413" s="922"/>
      <c r="I1413" s="923"/>
      <c r="J1413" s="198" t="str">
        <f>IF(LEN(F1413)&gt;0,"","Belum Terisi")</f>
        <v/>
      </c>
      <c r="K1413" s="31"/>
      <c r="L1413" s="43"/>
      <c r="M1413" s="21"/>
      <c r="N1413" s="21"/>
      <c r="O1413" s="21"/>
      <c r="P1413" s="21"/>
      <c r="Q1413" s="21"/>
      <c r="R1413" s="21"/>
      <c r="S1413" s="21"/>
      <c r="T1413" s="21"/>
      <c r="U1413" s="21"/>
      <c r="V1413" s="21"/>
    </row>
    <row r="1414" spans="1:22" s="2" customFormat="1" ht="30" customHeight="1" x14ac:dyDescent="0.25">
      <c r="A1414" s="671"/>
      <c r="B1414" s="388" t="s">
        <v>139</v>
      </c>
      <c r="C1414" s="389" t="s">
        <v>169</v>
      </c>
      <c r="D1414" s="525">
        <f>D1413+1</f>
        <v>1766</v>
      </c>
      <c r="E1414" s="28" t="s">
        <v>261</v>
      </c>
      <c r="F1414" s="912" t="str">
        <f>INT(F1413/(35*1000))&amp;" Jam "&amp;
INT(MOD((F1413/(35*1000))*60,60))&amp;" Menit "&amp;
INT(MOD((F1413/(35*1000))*3600,60))&amp;" Detik "</f>
        <v xml:space="preserve">2 Jam 51 Menit 25 Detik </v>
      </c>
      <c r="G1414" s="924"/>
      <c r="H1414" s="922"/>
      <c r="I1414" s="923"/>
      <c r="J1414" s="198" t="str">
        <f>IF(LEN(F1414)&gt;0,"","Belum Terisi")</f>
        <v/>
      </c>
      <c r="K1414" s="31"/>
      <c r="L1414" s="43"/>
      <c r="M1414" s="21"/>
      <c r="N1414" s="21"/>
      <c r="O1414" s="21"/>
      <c r="P1414" s="21"/>
      <c r="Q1414" s="21"/>
      <c r="R1414" s="21"/>
      <c r="S1414" s="21"/>
      <c r="T1414" s="21"/>
      <c r="U1414" s="21"/>
      <c r="V1414" s="21"/>
    </row>
    <row r="1415" spans="1:22" s="2" customFormat="1" ht="30" customHeight="1" x14ac:dyDescent="0.25">
      <c r="A1415" s="671"/>
      <c r="B1415" s="388" t="s">
        <v>251</v>
      </c>
      <c r="C1415" s="389" t="s">
        <v>170</v>
      </c>
      <c r="D1415" s="525">
        <f t="shared" ref="D1415:D1416" si="111">D1414+1</f>
        <v>1767</v>
      </c>
      <c r="E1415" s="427" t="s">
        <v>138</v>
      </c>
      <c r="F1415" s="839">
        <v>350000</v>
      </c>
      <c r="G1415" s="924"/>
      <c r="H1415" s="922"/>
      <c r="I1415" s="923"/>
      <c r="J1415" s="198" t="str">
        <f>IF(LEN(F1415)&gt;0,"","Belum Terisi")</f>
        <v/>
      </c>
      <c r="K1415" s="31"/>
      <c r="L1415" s="43"/>
      <c r="M1415" s="21"/>
      <c r="N1415" s="21"/>
      <c r="O1415" s="21"/>
      <c r="P1415" s="21"/>
      <c r="Q1415" s="21"/>
      <c r="R1415" s="21"/>
      <c r="S1415" s="21"/>
      <c r="T1415" s="21"/>
      <c r="U1415" s="21"/>
      <c r="V1415" s="21"/>
    </row>
    <row r="1416" spans="1:22" s="2" customFormat="1" ht="70.150000000000006" customHeight="1" x14ac:dyDescent="0.25">
      <c r="A1416" s="670"/>
      <c r="B1416" s="388" t="s">
        <v>255</v>
      </c>
      <c r="C1416" s="389" t="s">
        <v>2453</v>
      </c>
      <c r="D1416" s="525">
        <f t="shared" si="111"/>
        <v>1768</v>
      </c>
      <c r="E1416" s="528" t="s">
        <v>174</v>
      </c>
      <c r="F1416" s="841" t="s">
        <v>2843</v>
      </c>
      <c r="G1416" s="924"/>
      <c r="H1416" s="922"/>
      <c r="I1416" s="923"/>
      <c r="J1416" s="198" t="str">
        <f>IF(LEN(F1416)&gt;0,"","Belum Terisi")</f>
        <v/>
      </c>
      <c r="K1416" s="31"/>
      <c r="L1416" s="31"/>
      <c r="M1416" s="21"/>
      <c r="N1416" s="21"/>
      <c r="O1416" s="21"/>
      <c r="P1416" s="21"/>
      <c r="Q1416" s="21"/>
      <c r="R1416" s="21"/>
      <c r="S1416" s="21"/>
      <c r="T1416" s="21"/>
      <c r="U1416" s="21"/>
      <c r="V1416" s="21"/>
    </row>
    <row r="1417" spans="1:22" s="2" customFormat="1" ht="30" customHeight="1" x14ac:dyDescent="0.25">
      <c r="A1417" s="674" t="s">
        <v>1046</v>
      </c>
      <c r="B1417" s="391"/>
      <c r="C1417" s="392"/>
      <c r="D1417" s="529"/>
      <c r="E1417" s="530"/>
      <c r="F1417" s="732"/>
      <c r="G1417" s="924"/>
      <c r="H1417" s="922"/>
      <c r="I1417" s="923"/>
      <c r="J1417" s="198"/>
      <c r="K1417" s="31"/>
      <c r="L1417" s="31"/>
      <c r="M1417" s="21"/>
      <c r="N1417" s="21"/>
      <c r="O1417" s="21"/>
      <c r="P1417" s="21"/>
      <c r="Q1417" s="21"/>
      <c r="R1417" s="21"/>
      <c r="S1417" s="21"/>
      <c r="T1417" s="21"/>
      <c r="U1417" s="21"/>
      <c r="V1417" s="21"/>
    </row>
    <row r="1418" spans="1:22" s="2" customFormat="1" ht="30" customHeight="1" x14ac:dyDescent="0.25">
      <c r="A1418" s="675">
        <f>A1413+1</f>
        <v>399</v>
      </c>
      <c r="B1418" s="393"/>
      <c r="C1418" s="394" t="s">
        <v>940</v>
      </c>
      <c r="D1418" s="512">
        <f>D1416+1</f>
        <v>1769</v>
      </c>
      <c r="E1418" s="463" t="s">
        <v>171</v>
      </c>
      <c r="F1418" s="764" t="s">
        <v>263</v>
      </c>
      <c r="G1418" s="924"/>
      <c r="H1418" s="922"/>
      <c r="I1418" s="923" t="s">
        <v>263</v>
      </c>
      <c r="J1418" s="198" t="str">
        <f>IF(LEN(F1418)&gt;0,"","Belum Terisi")</f>
        <v/>
      </c>
      <c r="K1418" s="31"/>
      <c r="L1418" s="31"/>
      <c r="M1418" s="21"/>
      <c r="N1418" s="21"/>
      <c r="O1418" s="21"/>
      <c r="P1418" s="21"/>
      <c r="Q1418" s="21"/>
      <c r="R1418" s="21"/>
      <c r="S1418" s="21"/>
      <c r="T1418" s="21"/>
      <c r="U1418" s="21"/>
      <c r="V1418" s="21"/>
    </row>
    <row r="1419" spans="1:22" s="2" customFormat="1" ht="30" customHeight="1" x14ac:dyDescent="0.25">
      <c r="A1419" s="676">
        <f>A1418+1</f>
        <v>400</v>
      </c>
      <c r="B1419" s="395" t="s">
        <v>41</v>
      </c>
      <c r="C1419" s="396" t="s">
        <v>1092</v>
      </c>
      <c r="D1419" s="512">
        <f>D1418+1</f>
        <v>1770</v>
      </c>
      <c r="E1419" s="463" t="s">
        <v>171</v>
      </c>
      <c r="F1419" s="790" t="s">
        <v>263</v>
      </c>
      <c r="G1419" s="924"/>
      <c r="H1419" s="922"/>
      <c r="I1419" s="923" t="s">
        <v>1039</v>
      </c>
      <c r="J1419" s="198" t="str">
        <f>IF(F1419="","Belum Terisi",IF(AND(F1418="Tidak Ada",F1419&lt;&gt;"Tidak Ada"),"CEK",""))</f>
        <v/>
      </c>
      <c r="K1419" s="31" t="str">
        <f>IF(J1419="CEK",F1418&amp;" Program Pembangunan yang Bersumber dari APBD Kabupaten/ Kota","")</f>
        <v/>
      </c>
      <c r="L1419" s="31"/>
      <c r="M1419" s="21"/>
      <c r="N1419" s="21"/>
      <c r="O1419" s="21"/>
      <c r="P1419" s="21"/>
      <c r="Q1419" s="21"/>
      <c r="R1419" s="21"/>
      <c r="S1419" s="21"/>
      <c r="T1419" s="21"/>
      <c r="U1419" s="21"/>
      <c r="V1419" s="21"/>
    </row>
    <row r="1420" spans="1:22" s="2" customFormat="1" ht="30" customHeight="1" x14ac:dyDescent="0.25">
      <c r="A1420" s="677"/>
      <c r="B1420" s="395" t="s">
        <v>139</v>
      </c>
      <c r="C1420" s="396" t="s">
        <v>1097</v>
      </c>
      <c r="D1420" s="512">
        <f t="shared" ref="D1420:D1483" si="112">D1419+1</f>
        <v>1771</v>
      </c>
      <c r="E1420" s="531" t="s">
        <v>174</v>
      </c>
      <c r="F1420" s="791" t="s">
        <v>240</v>
      </c>
      <c r="G1420" s="924"/>
      <c r="H1420" s="922"/>
      <c r="I1420" s="923" t="s">
        <v>1040</v>
      </c>
      <c r="J1420" s="198" t="str">
        <f>IF(F1420="","Belum Terisi",IF(AND(F1419="Tidak Ada",F1420&lt;&gt;"-"),"CEK",IF(AND(F1419&lt;&gt;"Tidak Ada",F1420="-"),"CEK","")))</f>
        <v/>
      </c>
      <c r="K1420" s="31" t="str">
        <f>IF(J1420="CEK","Program Pembangunan di Desa "&amp;$F$1419,"")</f>
        <v/>
      </c>
      <c r="L1420" s="31"/>
      <c r="M1420" s="21"/>
      <c r="N1420" s="21"/>
      <c r="O1420" s="21"/>
      <c r="P1420" s="21"/>
      <c r="Q1420" s="21"/>
      <c r="R1420" s="21"/>
      <c r="S1420" s="21"/>
      <c r="T1420" s="21"/>
      <c r="U1420" s="21"/>
      <c r="V1420" s="21"/>
    </row>
    <row r="1421" spans="1:22" s="2" customFormat="1" ht="30" customHeight="1" x14ac:dyDescent="0.25">
      <c r="A1421" s="677"/>
      <c r="B1421" s="399" t="s">
        <v>251</v>
      </c>
      <c r="C1421" s="396" t="s">
        <v>1102</v>
      </c>
      <c r="D1421" s="512">
        <f t="shared" si="112"/>
        <v>1772</v>
      </c>
      <c r="E1421" s="463" t="s">
        <v>171</v>
      </c>
      <c r="F1421" s="774" t="s">
        <v>263</v>
      </c>
      <c r="G1421" s="924"/>
      <c r="H1421" s="922"/>
      <c r="I1421" s="923"/>
      <c r="J1421" s="198" t="str">
        <f>IF(F1421="","Belum Terisi",IF(AND(F1419="Tidak Ada",F1421&lt;&gt;"Tidak Ada"),"CEK",IF(AND(F1419&lt;&gt;"Tidak Ada",F1421="Tidak Ada"),"CEK","")))</f>
        <v/>
      </c>
      <c r="K1421" s="31" t="str">
        <f>IF(J1421="CEK","Program Pembangunan di Desa "&amp;$F$1419,"")</f>
        <v/>
      </c>
      <c r="L1421" s="31"/>
      <c r="M1421" s="21"/>
      <c r="N1421" s="21"/>
      <c r="O1421" s="21"/>
      <c r="P1421" s="21"/>
      <c r="Q1421" s="21"/>
      <c r="R1421" s="21"/>
      <c r="S1421" s="21"/>
      <c r="T1421" s="21"/>
      <c r="U1421" s="21"/>
      <c r="V1421" s="21"/>
    </row>
    <row r="1422" spans="1:22" s="2" customFormat="1" ht="30" customHeight="1" x14ac:dyDescent="0.25">
      <c r="A1422" s="676">
        <f>A1419+1</f>
        <v>401</v>
      </c>
      <c r="B1422" s="395" t="s">
        <v>41</v>
      </c>
      <c r="C1422" s="396" t="s">
        <v>1104</v>
      </c>
      <c r="D1422" s="512">
        <f t="shared" si="112"/>
        <v>1773</v>
      </c>
      <c r="E1422" s="463" t="s">
        <v>171</v>
      </c>
      <c r="F1422" s="790" t="s">
        <v>263</v>
      </c>
      <c r="G1422" s="924"/>
      <c r="H1422" s="922"/>
      <c r="I1422" s="923" t="s">
        <v>1041</v>
      </c>
      <c r="J1422" s="198" t="str">
        <f>IF(F1422="","Belum Terisi",IF(AND(F1418="Tidak Ada",F1422&lt;&gt;"Tidak Ada"),"CEK",""))</f>
        <v/>
      </c>
      <c r="K1422" s="31" t="str">
        <f>IF(J1422="CEK",F1418&amp;" Program Pembangunan yang Bersumber dari APBD Kabupaten/ Kota","")</f>
        <v/>
      </c>
      <c r="L1422" s="31"/>
      <c r="M1422" s="21"/>
      <c r="N1422" s="21"/>
      <c r="O1422" s="21"/>
      <c r="P1422" s="21"/>
      <c r="Q1422" s="21"/>
      <c r="R1422" s="21"/>
      <c r="S1422" s="21"/>
      <c r="T1422" s="21"/>
      <c r="U1422" s="21"/>
      <c r="V1422" s="21"/>
    </row>
    <row r="1423" spans="1:22" s="2" customFormat="1" ht="30" customHeight="1" x14ac:dyDescent="0.25">
      <c r="A1423" s="677"/>
      <c r="B1423" s="395" t="s">
        <v>139</v>
      </c>
      <c r="C1423" s="396" t="s">
        <v>1093</v>
      </c>
      <c r="D1423" s="512">
        <f t="shared" si="112"/>
        <v>1774</v>
      </c>
      <c r="E1423" s="531" t="s">
        <v>174</v>
      </c>
      <c r="F1423" s="791" t="s">
        <v>240</v>
      </c>
      <c r="G1423" s="924"/>
      <c r="H1423" s="922"/>
      <c r="I1423" s="923" t="s">
        <v>1042</v>
      </c>
      <c r="J1423" s="198" t="str">
        <f>IF(F1423="","Belum Terisi",IF(AND(F1422="Tidak Ada",F1423&lt;&gt;"-"),"CEK",IF(AND(F1422&lt;&gt;"Tidak Ada",F1423="-"),"CEK","")))</f>
        <v/>
      </c>
      <c r="K1423" s="31" t="str">
        <f>IF(J1423="CEK","Program Pembangunan di Desa "&amp;$F$1422,"")</f>
        <v/>
      </c>
      <c r="L1423" s="31"/>
      <c r="M1423" s="21"/>
      <c r="N1423" s="21"/>
      <c r="O1423" s="21"/>
      <c r="P1423" s="21"/>
      <c r="Q1423" s="21"/>
      <c r="R1423" s="21"/>
      <c r="S1423" s="21"/>
      <c r="T1423" s="21"/>
      <c r="U1423" s="21"/>
      <c r="V1423" s="21"/>
    </row>
    <row r="1424" spans="1:22" s="2" customFormat="1" ht="30" customHeight="1" x14ac:dyDescent="0.25">
      <c r="A1424" s="677"/>
      <c r="B1424" s="399" t="s">
        <v>251</v>
      </c>
      <c r="C1424" s="396" t="s">
        <v>1098</v>
      </c>
      <c r="D1424" s="512">
        <f t="shared" si="112"/>
        <v>1775</v>
      </c>
      <c r="E1424" s="463" t="s">
        <v>171</v>
      </c>
      <c r="F1424" s="774" t="s">
        <v>263</v>
      </c>
      <c r="G1424" s="924"/>
      <c r="H1424" s="922"/>
      <c r="I1424" s="923" t="s">
        <v>1043</v>
      </c>
      <c r="J1424" s="198" t="str">
        <f>IF(F1424="","Belum Terisi",IF(AND(F1422="Tidak Ada",F1424&lt;&gt;"Tidak Ada"),"CEK",IF(AND(F1422&lt;&gt;"Tidak Ada",F1424="Tidak Ada"),"CEK","")))</f>
        <v/>
      </c>
      <c r="K1424" s="31" t="str">
        <f>IF(J1424="CEK","Program Pembangunan di Desa "&amp;$F$1422,"")</f>
        <v/>
      </c>
      <c r="L1424" s="31"/>
      <c r="M1424" s="21"/>
      <c r="N1424" s="21"/>
      <c r="O1424" s="21"/>
      <c r="P1424" s="21"/>
      <c r="Q1424" s="21"/>
      <c r="R1424" s="21"/>
      <c r="S1424" s="21"/>
      <c r="T1424" s="21"/>
      <c r="U1424" s="21"/>
      <c r="V1424" s="21"/>
    </row>
    <row r="1425" spans="1:22" s="2" customFormat="1" ht="30" customHeight="1" x14ac:dyDescent="0.25">
      <c r="A1425" s="676">
        <f>A1422+1</f>
        <v>402</v>
      </c>
      <c r="B1425" s="395" t="s">
        <v>41</v>
      </c>
      <c r="C1425" s="396" t="s">
        <v>1105</v>
      </c>
      <c r="D1425" s="512">
        <f t="shared" si="112"/>
        <v>1776</v>
      </c>
      <c r="E1425" s="463" t="s">
        <v>171</v>
      </c>
      <c r="F1425" s="790" t="s">
        <v>263</v>
      </c>
      <c r="G1425" s="924"/>
      <c r="H1425" s="922"/>
      <c r="I1425" s="923" t="s">
        <v>1044</v>
      </c>
      <c r="J1425" s="198" t="str">
        <f>IF(F1425="","Belum Terisi",IF(AND(F1418="Tidak Ada",F1425&lt;&gt;"Tidak Ada"),"CEK",""))</f>
        <v/>
      </c>
      <c r="K1425" s="31" t="str">
        <f>IF(J1425="CEK",F1418&amp;" Program Pembangunan yang Bersumber dari APBD Kabupaten/ Kota","")</f>
        <v/>
      </c>
      <c r="L1425" s="31"/>
      <c r="M1425" s="21"/>
      <c r="N1425" s="21"/>
      <c r="O1425" s="21"/>
      <c r="P1425" s="21"/>
      <c r="Q1425" s="21"/>
      <c r="R1425" s="21"/>
      <c r="S1425" s="21"/>
      <c r="T1425" s="21"/>
      <c r="U1425" s="21"/>
      <c r="V1425" s="21"/>
    </row>
    <row r="1426" spans="1:22" s="2" customFormat="1" ht="30" customHeight="1" x14ac:dyDescent="0.25">
      <c r="A1426" s="677"/>
      <c r="B1426" s="395" t="s">
        <v>139</v>
      </c>
      <c r="C1426" s="396" t="s">
        <v>1094</v>
      </c>
      <c r="D1426" s="512">
        <f t="shared" si="112"/>
        <v>1777</v>
      </c>
      <c r="E1426" s="531" t="s">
        <v>174</v>
      </c>
      <c r="F1426" s="791" t="s">
        <v>240</v>
      </c>
      <c r="G1426" s="924"/>
      <c r="H1426" s="922"/>
      <c r="I1426" s="923" t="s">
        <v>1045</v>
      </c>
      <c r="J1426" s="198" t="str">
        <f>IF(F1426="","Belum Terisi",IF(AND(F1425="Tidak Ada",F1426&lt;&gt;"-"),"CEK",IF(AND(F1425&lt;&gt;"Tidak Ada",F1426="-"),"CEK","")))</f>
        <v/>
      </c>
      <c r="K1426" s="31" t="str">
        <f>IF(J1426="CEK","Program Pembangunan di Desa "&amp;F1425,"")</f>
        <v/>
      </c>
      <c r="L1426" s="31"/>
      <c r="M1426" s="21"/>
      <c r="N1426" s="21"/>
      <c r="O1426" s="21"/>
      <c r="P1426" s="21"/>
      <c r="Q1426" s="21"/>
      <c r="R1426" s="21"/>
      <c r="S1426" s="21"/>
      <c r="T1426" s="21"/>
      <c r="U1426" s="21"/>
      <c r="V1426" s="21"/>
    </row>
    <row r="1427" spans="1:22" s="2" customFormat="1" ht="30" customHeight="1" x14ac:dyDescent="0.25">
      <c r="A1427" s="677"/>
      <c r="B1427" s="399" t="s">
        <v>251</v>
      </c>
      <c r="C1427" s="396" t="s">
        <v>1099</v>
      </c>
      <c r="D1427" s="512">
        <f t="shared" si="112"/>
        <v>1778</v>
      </c>
      <c r="E1427" s="463" t="s">
        <v>171</v>
      </c>
      <c r="F1427" s="774" t="s">
        <v>263</v>
      </c>
      <c r="G1427" s="924"/>
      <c r="H1427" s="922"/>
      <c r="I1427" s="923"/>
      <c r="J1427" s="198" t="str">
        <f>IF(F1427="","Belum Terisi",IF(AND(F1425="Tidak Ada",F1427&lt;&gt;"Tidak Ada"),"CEK",IF(AND(F1425&lt;&gt;"Tidak Ada",F1427="Tidak Ada"),"CEK","")))</f>
        <v/>
      </c>
      <c r="K1427" s="31" t="str">
        <f>IF(J1427="CEK","Program Pembangunan di Desa "&amp;F1425,"")</f>
        <v/>
      </c>
      <c r="L1427" s="31"/>
      <c r="M1427" s="21"/>
      <c r="N1427" s="21"/>
      <c r="O1427" s="21"/>
      <c r="P1427" s="21"/>
      <c r="Q1427" s="21"/>
      <c r="R1427" s="21"/>
      <c r="S1427" s="21"/>
      <c r="T1427" s="21"/>
      <c r="U1427" s="21"/>
      <c r="V1427" s="21"/>
    </row>
    <row r="1428" spans="1:22" s="2" customFormat="1" ht="30" customHeight="1" x14ac:dyDescent="0.25">
      <c r="A1428" s="676">
        <f>A1425+1</f>
        <v>403</v>
      </c>
      <c r="B1428" s="395" t="s">
        <v>41</v>
      </c>
      <c r="C1428" s="396" t="s">
        <v>1106</v>
      </c>
      <c r="D1428" s="512">
        <f t="shared" si="112"/>
        <v>1779</v>
      </c>
      <c r="E1428" s="463" t="s">
        <v>171</v>
      </c>
      <c r="F1428" s="790" t="s">
        <v>263</v>
      </c>
      <c r="G1428" s="924"/>
      <c r="H1428" s="922"/>
      <c r="I1428" s="923" t="s">
        <v>1047</v>
      </c>
      <c r="J1428" s="198" t="str">
        <f>IF(F1428="","Belum Terisi",IF(AND(F1418="Tidak Ada",F1428&lt;&gt;"Tidak Ada"),"CEK",""))</f>
        <v/>
      </c>
      <c r="K1428" s="31" t="str">
        <f>IF(J1428="CEK",F1418&amp;" Program Pembangunan yang Bersumber dari APBD Kabupaten/ Kota","")</f>
        <v/>
      </c>
      <c r="L1428" s="31"/>
      <c r="M1428" s="21"/>
      <c r="N1428" s="21"/>
      <c r="O1428" s="21"/>
      <c r="P1428" s="21"/>
      <c r="Q1428" s="21"/>
      <c r="R1428" s="21"/>
      <c r="S1428" s="21"/>
      <c r="T1428" s="21"/>
      <c r="U1428" s="21"/>
      <c r="V1428" s="21"/>
    </row>
    <row r="1429" spans="1:22" s="2" customFormat="1" ht="30" customHeight="1" x14ac:dyDescent="0.25">
      <c r="A1429" s="677"/>
      <c r="B1429" s="395" t="s">
        <v>139</v>
      </c>
      <c r="C1429" s="396" t="s">
        <v>1095</v>
      </c>
      <c r="D1429" s="512">
        <f t="shared" si="112"/>
        <v>1780</v>
      </c>
      <c r="E1429" s="531" t="s">
        <v>174</v>
      </c>
      <c r="F1429" s="791" t="s">
        <v>240</v>
      </c>
      <c r="G1429" s="924"/>
      <c r="H1429" s="922"/>
      <c r="I1429" s="923" t="s">
        <v>1048</v>
      </c>
      <c r="J1429" s="198" t="str">
        <f>IF(F1429="","Belum Terisi",IF(AND(F1428="Tidak Ada",F1429&lt;&gt;"-"),"CEK",IF(AND(F1428&lt;&gt;"Tidak Ada",F1429="-"),"CEK","")))</f>
        <v/>
      </c>
      <c r="K1429" s="31" t="str">
        <f>IF(J1429="CEK","Program Pembangunan di Desa "&amp;$F$1428,"")</f>
        <v/>
      </c>
      <c r="L1429" s="31"/>
      <c r="M1429" s="21"/>
      <c r="N1429" s="21"/>
      <c r="O1429" s="21"/>
      <c r="P1429" s="21"/>
      <c r="Q1429" s="21"/>
      <c r="R1429" s="21"/>
      <c r="S1429" s="21"/>
      <c r="T1429" s="21"/>
      <c r="U1429" s="21"/>
      <c r="V1429" s="21"/>
    </row>
    <row r="1430" spans="1:22" s="2" customFormat="1" ht="30" customHeight="1" x14ac:dyDescent="0.25">
      <c r="A1430" s="677"/>
      <c r="B1430" s="399" t="s">
        <v>251</v>
      </c>
      <c r="C1430" s="396" t="s">
        <v>1100</v>
      </c>
      <c r="D1430" s="512">
        <f t="shared" si="112"/>
        <v>1781</v>
      </c>
      <c r="E1430" s="463" t="s">
        <v>171</v>
      </c>
      <c r="F1430" s="774" t="s">
        <v>263</v>
      </c>
      <c r="G1430" s="924"/>
      <c r="H1430" s="922"/>
      <c r="I1430" s="923" t="s">
        <v>1049</v>
      </c>
      <c r="J1430" s="198" t="str">
        <f>IF(F1430="","Belum Terisi",IF(AND(F1428="Tidak Ada",F1430&lt;&gt;"Tidak Ada"),"CEK",IF(AND(F1428&lt;&gt;"Tidak Ada",F1430="Tidak Ada"),"CEK","")))</f>
        <v/>
      </c>
      <c r="K1430" s="31" t="str">
        <f>IF(J1430="CEK","Program Pembangunan di Desa "&amp;$F$1428,"")</f>
        <v/>
      </c>
      <c r="L1430" s="31"/>
      <c r="M1430" s="21"/>
      <c r="N1430" s="21"/>
      <c r="O1430" s="21"/>
      <c r="P1430" s="21"/>
      <c r="Q1430" s="21"/>
      <c r="R1430" s="21"/>
      <c r="S1430" s="21"/>
      <c r="T1430" s="21"/>
      <c r="U1430" s="21"/>
      <c r="V1430" s="21"/>
    </row>
    <row r="1431" spans="1:22" s="2" customFormat="1" ht="30" customHeight="1" x14ac:dyDescent="0.25">
      <c r="A1431" s="676">
        <f>A1428+1</f>
        <v>404</v>
      </c>
      <c r="B1431" s="395" t="s">
        <v>41</v>
      </c>
      <c r="C1431" s="396" t="s">
        <v>1107</v>
      </c>
      <c r="D1431" s="512">
        <f t="shared" si="112"/>
        <v>1782</v>
      </c>
      <c r="E1431" s="463" t="s">
        <v>171</v>
      </c>
      <c r="F1431" s="790" t="s">
        <v>263</v>
      </c>
      <c r="G1431" s="924"/>
      <c r="H1431" s="922"/>
      <c r="I1431" s="923" t="s">
        <v>1050</v>
      </c>
      <c r="J1431" s="198" t="str">
        <f>IF(F1431="","Belum Terisi",IF(AND(F1418="Tidak Ada",F1431&lt;&gt;"Tidak Ada"),"CEK",""))</f>
        <v/>
      </c>
      <c r="K1431" s="31" t="str">
        <f>IF(J1431="CEK",F1418&amp;" Program Pembangunan yang Bersumber dari APBD Kabupaten/ Kota","")</f>
        <v/>
      </c>
      <c r="L1431" s="31"/>
      <c r="M1431" s="21"/>
      <c r="N1431" s="21"/>
      <c r="O1431" s="21"/>
      <c r="P1431" s="21"/>
      <c r="Q1431" s="21"/>
      <c r="R1431" s="21"/>
      <c r="S1431" s="21"/>
      <c r="T1431" s="21"/>
      <c r="U1431" s="21"/>
      <c r="V1431" s="21"/>
    </row>
    <row r="1432" spans="1:22" s="2" customFormat="1" ht="30" customHeight="1" x14ac:dyDescent="0.25">
      <c r="A1432" s="677"/>
      <c r="B1432" s="395" t="s">
        <v>139</v>
      </c>
      <c r="C1432" s="396" t="s">
        <v>1096</v>
      </c>
      <c r="D1432" s="512">
        <f t="shared" si="112"/>
        <v>1783</v>
      </c>
      <c r="E1432" s="531" t="s">
        <v>174</v>
      </c>
      <c r="F1432" s="791" t="s">
        <v>240</v>
      </c>
      <c r="G1432" s="924"/>
      <c r="H1432" s="922"/>
      <c r="I1432" s="923" t="s">
        <v>1051</v>
      </c>
      <c r="J1432" s="198" t="str">
        <f>IF(F1432="","Belum Terisi",IF(AND(F1431="Tidak Ada",F1432&lt;&gt;"-"),"CEK",IF(AND(F1431&lt;&gt;"Tidak Ada",F1432="-"),"CEK","")))</f>
        <v/>
      </c>
      <c r="K1432" s="31" t="str">
        <f>IF(J1432="CEK","Program Pembangunan di Desa "&amp;$F$1431,"")</f>
        <v/>
      </c>
      <c r="L1432" s="31"/>
      <c r="M1432" s="21"/>
      <c r="N1432" s="21"/>
      <c r="O1432" s="21"/>
      <c r="P1432" s="21"/>
      <c r="Q1432" s="21"/>
      <c r="R1432" s="21"/>
      <c r="S1432" s="21"/>
      <c r="T1432" s="21"/>
      <c r="U1432" s="21"/>
      <c r="V1432" s="21"/>
    </row>
    <row r="1433" spans="1:22" s="2" customFormat="1" ht="30" customHeight="1" x14ac:dyDescent="0.25">
      <c r="A1433" s="678"/>
      <c r="B1433" s="395" t="s">
        <v>251</v>
      </c>
      <c r="C1433" s="396" t="s">
        <v>1101</v>
      </c>
      <c r="D1433" s="512">
        <f t="shared" si="112"/>
        <v>1784</v>
      </c>
      <c r="E1433" s="463" t="s">
        <v>171</v>
      </c>
      <c r="F1433" s="774" t="s">
        <v>263</v>
      </c>
      <c r="G1433" s="924"/>
      <c r="H1433" s="922"/>
      <c r="I1433" s="923" t="s">
        <v>1052</v>
      </c>
      <c r="J1433" s="198" t="str">
        <f>IF(F1433="","Belum Terisi",IF(AND(F1431="Tidak Ada",F1433&lt;&gt;"Tidak Ada"),"CEK",IF(AND(F1431&lt;&gt;"Tidak Ada",F1433="Tidak Ada"),"CEK","")))</f>
        <v/>
      </c>
      <c r="K1433" s="31" t="str">
        <f>IF(J1433="CEK","Program Pembangunan di Desa "&amp;$F$1431,"")</f>
        <v/>
      </c>
      <c r="L1433" s="31"/>
      <c r="M1433" s="21"/>
      <c r="N1433" s="21"/>
      <c r="O1433" s="21"/>
      <c r="P1433" s="21"/>
      <c r="Q1433" s="21"/>
      <c r="R1433" s="21"/>
      <c r="S1433" s="21"/>
      <c r="T1433" s="21"/>
      <c r="U1433" s="21"/>
      <c r="V1433" s="21"/>
    </row>
    <row r="1434" spans="1:22" s="2" customFormat="1" ht="30" customHeight="1" x14ac:dyDescent="0.25">
      <c r="A1434" s="675">
        <f>A1431+1</f>
        <v>405</v>
      </c>
      <c r="B1434" s="393"/>
      <c r="C1434" s="398" t="s">
        <v>941</v>
      </c>
      <c r="D1434" s="512">
        <f t="shared" si="112"/>
        <v>1785</v>
      </c>
      <c r="E1434" s="463" t="s">
        <v>171</v>
      </c>
      <c r="F1434" s="764" t="s">
        <v>263</v>
      </c>
      <c r="G1434" s="924"/>
      <c r="H1434" s="922"/>
      <c r="I1434" s="923" t="s">
        <v>1053</v>
      </c>
      <c r="J1434" s="198" t="str">
        <f>IF(LEN(F1434)&gt;0,"","Belum Terisi")</f>
        <v/>
      </c>
      <c r="K1434" s="31"/>
      <c r="L1434" s="31"/>
      <c r="M1434" s="21"/>
      <c r="N1434" s="21"/>
      <c r="O1434" s="21"/>
      <c r="P1434" s="21"/>
      <c r="Q1434" s="21"/>
      <c r="R1434" s="21"/>
      <c r="S1434" s="21"/>
      <c r="T1434" s="21"/>
      <c r="U1434" s="21"/>
      <c r="V1434" s="21"/>
    </row>
    <row r="1435" spans="1:22" s="2" customFormat="1" ht="30" customHeight="1" x14ac:dyDescent="0.25">
      <c r="A1435" s="676">
        <f>A1434+1</f>
        <v>406</v>
      </c>
      <c r="B1435" s="395" t="s">
        <v>41</v>
      </c>
      <c r="C1435" s="396" t="s">
        <v>1092</v>
      </c>
      <c r="D1435" s="512">
        <f t="shared" si="112"/>
        <v>1786</v>
      </c>
      <c r="E1435" s="463" t="s">
        <v>171</v>
      </c>
      <c r="F1435" s="790" t="s">
        <v>263</v>
      </c>
      <c r="G1435" s="924"/>
      <c r="H1435" s="922"/>
      <c r="I1435" s="923" t="s">
        <v>1054</v>
      </c>
      <c r="J1435" s="198" t="str">
        <f>IF(F1435="","Belum Terisi",IF(AND(F1434="Tidak Ada",F1435&lt;&gt;"Tidak Ada"),"CEK",""))</f>
        <v/>
      </c>
      <c r="K1435" s="31" t="str">
        <f>IF(J1435="CEK",F1434&amp;" Program Pembangunan yang Bersumber dari APBD Provinsi","")</f>
        <v/>
      </c>
      <c r="L1435" s="31"/>
      <c r="M1435" s="21"/>
      <c r="N1435" s="21"/>
      <c r="O1435" s="21"/>
      <c r="P1435" s="21"/>
      <c r="Q1435" s="21"/>
      <c r="R1435" s="21"/>
      <c r="S1435" s="21"/>
      <c r="T1435" s="21"/>
      <c r="U1435" s="21"/>
      <c r="V1435" s="21"/>
    </row>
    <row r="1436" spans="1:22" s="2" customFormat="1" ht="30" customHeight="1" x14ac:dyDescent="0.25">
      <c r="A1436" s="677"/>
      <c r="B1436" s="395" t="s">
        <v>139</v>
      </c>
      <c r="C1436" s="396" t="s">
        <v>1097</v>
      </c>
      <c r="D1436" s="512">
        <f t="shared" si="112"/>
        <v>1787</v>
      </c>
      <c r="E1436" s="531" t="s">
        <v>174</v>
      </c>
      <c r="F1436" s="791" t="s">
        <v>240</v>
      </c>
      <c r="G1436" s="924"/>
      <c r="H1436" s="922"/>
      <c r="I1436" s="923" t="s">
        <v>1055</v>
      </c>
      <c r="J1436" s="198" t="str">
        <f>IF(F1436="","Belum Terisi",IF(AND(F1435="Tidak Ada",F1436&lt;&gt;"-"),"CEK",IF(AND(F1435&lt;&gt;"Tidak Ada",F1436="-"),"CEK","")))</f>
        <v/>
      </c>
      <c r="K1436" s="31" t="str">
        <f>IF(J1436="CEK","Program Pembangunan di Desa "&amp;$F$1434,"")</f>
        <v/>
      </c>
      <c r="L1436" s="31"/>
      <c r="M1436" s="21"/>
      <c r="N1436" s="21"/>
      <c r="O1436" s="21"/>
      <c r="P1436" s="21"/>
      <c r="Q1436" s="21"/>
      <c r="R1436" s="21"/>
      <c r="S1436" s="21"/>
      <c r="T1436" s="21"/>
      <c r="U1436" s="21"/>
      <c r="V1436" s="21"/>
    </row>
    <row r="1437" spans="1:22" s="2" customFormat="1" ht="30" customHeight="1" x14ac:dyDescent="0.25">
      <c r="A1437" s="677"/>
      <c r="B1437" s="399" t="s">
        <v>251</v>
      </c>
      <c r="C1437" s="396" t="s">
        <v>1102</v>
      </c>
      <c r="D1437" s="512">
        <f t="shared" si="112"/>
        <v>1788</v>
      </c>
      <c r="E1437" s="463" t="s">
        <v>171</v>
      </c>
      <c r="F1437" s="774" t="s">
        <v>263</v>
      </c>
      <c r="G1437" s="924"/>
      <c r="H1437" s="922"/>
      <c r="I1437" s="923" t="s">
        <v>1056</v>
      </c>
      <c r="J1437" s="198" t="str">
        <f>IF(F1437="","Belum Terisi",IF(AND(F1435="Tidak Ada",F1437&lt;&gt;"Tidak Ada"),"CEK",IF(AND(F1435&lt;&gt;"Tidak Ada",F1437="Tidak Ada"),"CEK","")))</f>
        <v/>
      </c>
      <c r="K1437" s="31" t="str">
        <f>IF(J1437="CEK","Program Pembangunan di Desa "&amp;F1435,"")</f>
        <v/>
      </c>
      <c r="L1437" s="31"/>
      <c r="M1437" s="21"/>
      <c r="N1437" s="21"/>
      <c r="O1437" s="21"/>
      <c r="P1437" s="21"/>
      <c r="Q1437" s="21"/>
      <c r="R1437" s="21"/>
      <c r="S1437" s="21"/>
      <c r="T1437" s="21"/>
      <c r="U1437" s="21"/>
      <c r="V1437" s="21"/>
    </row>
    <row r="1438" spans="1:22" s="2" customFormat="1" ht="30" customHeight="1" x14ac:dyDescent="0.25">
      <c r="A1438" s="676">
        <f>A1435+1</f>
        <v>407</v>
      </c>
      <c r="B1438" s="395" t="s">
        <v>41</v>
      </c>
      <c r="C1438" s="396" t="s">
        <v>1104</v>
      </c>
      <c r="D1438" s="512">
        <f t="shared" si="112"/>
        <v>1789</v>
      </c>
      <c r="E1438" s="463" t="s">
        <v>171</v>
      </c>
      <c r="F1438" s="790" t="s">
        <v>263</v>
      </c>
      <c r="G1438" s="924"/>
      <c r="H1438" s="922"/>
      <c r="I1438" s="923" t="s">
        <v>1057</v>
      </c>
      <c r="J1438" s="198" t="str">
        <f>IF(F1438="","Belum Terisi",IF(AND(F1434="Tidak Ada",F1438&lt;&gt;"Tidak Ada"),"CEK",""))</f>
        <v/>
      </c>
      <c r="K1438" s="31" t="str">
        <f>IF(J1438="CEK",F1434&amp;" Program Pembangunan yang Bersumber dari APBD Provinsi","")</f>
        <v/>
      </c>
      <c r="L1438" s="31"/>
      <c r="M1438" s="21"/>
      <c r="N1438" s="21"/>
      <c r="O1438" s="21"/>
      <c r="P1438" s="21"/>
      <c r="Q1438" s="21"/>
      <c r="R1438" s="21"/>
      <c r="S1438" s="21"/>
      <c r="T1438" s="21"/>
      <c r="U1438" s="21"/>
      <c r="V1438" s="21"/>
    </row>
    <row r="1439" spans="1:22" s="2" customFormat="1" ht="30" customHeight="1" x14ac:dyDescent="0.25">
      <c r="A1439" s="677"/>
      <c r="B1439" s="395" t="s">
        <v>139</v>
      </c>
      <c r="C1439" s="396" t="s">
        <v>1093</v>
      </c>
      <c r="D1439" s="512">
        <f t="shared" si="112"/>
        <v>1790</v>
      </c>
      <c r="E1439" s="531" t="s">
        <v>174</v>
      </c>
      <c r="F1439" s="791" t="s">
        <v>240</v>
      </c>
      <c r="G1439" s="924"/>
      <c r="H1439" s="922"/>
      <c r="I1439" s="923" t="s">
        <v>1058</v>
      </c>
      <c r="J1439" s="198" t="str">
        <f>IF(F1439="","Belum Terisi",IF(AND(F1438="Tidak Ada",F1439&lt;&gt;"-"),"CEK",IF(AND(F1438&lt;&gt;"Tidak Ada",F1439="-"),"CEK","")))</f>
        <v/>
      </c>
      <c r="K1439" s="31" t="str">
        <f>IF(J1439="CEK","Program Pembangunan di Desa "&amp;$F$1438,"")</f>
        <v/>
      </c>
      <c r="L1439" s="31"/>
      <c r="M1439" s="21"/>
      <c r="N1439" s="21"/>
      <c r="O1439" s="21"/>
      <c r="P1439" s="21"/>
      <c r="Q1439" s="21"/>
      <c r="R1439" s="21"/>
      <c r="S1439" s="21"/>
      <c r="T1439" s="21"/>
      <c r="U1439" s="21"/>
      <c r="V1439" s="21"/>
    </row>
    <row r="1440" spans="1:22" s="2" customFormat="1" ht="30" customHeight="1" x14ac:dyDescent="0.25">
      <c r="A1440" s="677"/>
      <c r="B1440" s="399" t="s">
        <v>251</v>
      </c>
      <c r="C1440" s="396" t="s">
        <v>1098</v>
      </c>
      <c r="D1440" s="512">
        <f t="shared" si="112"/>
        <v>1791</v>
      </c>
      <c r="E1440" s="463" t="s">
        <v>171</v>
      </c>
      <c r="F1440" s="774" t="s">
        <v>263</v>
      </c>
      <c r="G1440" s="924"/>
      <c r="H1440" s="922"/>
      <c r="I1440" s="923" t="s">
        <v>1059</v>
      </c>
      <c r="J1440" s="198" t="str">
        <f>IF(F1440="","Belum Terisi",IF(AND(F1438="Tidak Ada",F1440&lt;&gt;"Tidak Ada"),"CEK",IF(AND(F1438&lt;&gt;"Tidak Ada",F1440="Tidak Ada"),"CEK","")))</f>
        <v/>
      </c>
      <c r="K1440" s="31" t="str">
        <f>IF(J1440="CEK","Program Pembangunan di Desa "&amp;F1438,"")</f>
        <v/>
      </c>
      <c r="L1440" s="31"/>
      <c r="M1440" s="21"/>
      <c r="N1440" s="21"/>
      <c r="O1440" s="21"/>
      <c r="P1440" s="21"/>
      <c r="Q1440" s="21"/>
      <c r="R1440" s="21"/>
      <c r="S1440" s="21"/>
      <c r="T1440" s="21"/>
      <c r="U1440" s="21"/>
      <c r="V1440" s="21"/>
    </row>
    <row r="1441" spans="1:22" s="2" customFormat="1" ht="30" customHeight="1" x14ac:dyDescent="0.25">
      <c r="A1441" s="676">
        <f>A1438+1</f>
        <v>408</v>
      </c>
      <c r="B1441" s="395" t="s">
        <v>41</v>
      </c>
      <c r="C1441" s="396" t="s">
        <v>1105</v>
      </c>
      <c r="D1441" s="512">
        <f t="shared" si="112"/>
        <v>1792</v>
      </c>
      <c r="E1441" s="463" t="s">
        <v>171</v>
      </c>
      <c r="F1441" s="790" t="s">
        <v>263</v>
      </c>
      <c r="G1441" s="924"/>
      <c r="H1441" s="922"/>
      <c r="I1441" s="923" t="s">
        <v>1060</v>
      </c>
      <c r="J1441" s="198" t="str">
        <f>IF(F1441="","Belum Terisi",IF(AND($F$1434="Tidak Ada",F1441&lt;&gt;"Tidak Ada"),"CEK",""))</f>
        <v/>
      </c>
      <c r="K1441" s="31" t="str">
        <f>IF(J1441="CEK",$F$1434&amp;" Program Pembangunan yang Bersumber dari APBD Provinsi","")</f>
        <v/>
      </c>
      <c r="L1441" s="31"/>
      <c r="M1441" s="21"/>
      <c r="N1441" s="21"/>
      <c r="O1441" s="21"/>
      <c r="P1441" s="21"/>
      <c r="Q1441" s="21"/>
      <c r="R1441" s="21"/>
      <c r="S1441" s="21"/>
      <c r="T1441" s="21"/>
      <c r="U1441" s="21"/>
      <c r="V1441" s="21"/>
    </row>
    <row r="1442" spans="1:22" s="2" customFormat="1" ht="30" customHeight="1" x14ac:dyDescent="0.25">
      <c r="A1442" s="677"/>
      <c r="B1442" s="395" t="s">
        <v>139</v>
      </c>
      <c r="C1442" s="396" t="s">
        <v>1094</v>
      </c>
      <c r="D1442" s="512">
        <f t="shared" si="112"/>
        <v>1793</v>
      </c>
      <c r="E1442" s="531" t="s">
        <v>174</v>
      </c>
      <c r="F1442" s="791" t="s">
        <v>240</v>
      </c>
      <c r="G1442" s="924"/>
      <c r="H1442" s="922"/>
      <c r="I1442" s="923" t="s">
        <v>1061</v>
      </c>
      <c r="J1442" s="198" t="str">
        <f>IF(F1442="","Belum Terisi",IF(AND(F1441="Tidak Ada",F1442&lt;&gt;"-"),"CEK",IF(AND(F1441&lt;&gt;"Tidak Ada",F1442="-"),"CEK","")))</f>
        <v/>
      </c>
      <c r="K1442" s="31" t="str">
        <f>IF(J1442="CEK","Program Pembangunan di Desa "&amp;F1441,"")</f>
        <v/>
      </c>
      <c r="L1442" s="31"/>
      <c r="M1442" s="21"/>
      <c r="N1442" s="21"/>
      <c r="O1442" s="21"/>
      <c r="P1442" s="21"/>
      <c r="Q1442" s="21"/>
      <c r="R1442" s="21"/>
      <c r="S1442" s="21"/>
      <c r="T1442" s="21"/>
      <c r="U1442" s="21"/>
      <c r="V1442" s="21"/>
    </row>
    <row r="1443" spans="1:22" s="2" customFormat="1" ht="30" customHeight="1" x14ac:dyDescent="0.25">
      <c r="A1443" s="677"/>
      <c r="B1443" s="399" t="s">
        <v>251</v>
      </c>
      <c r="C1443" s="396" t="s">
        <v>1099</v>
      </c>
      <c r="D1443" s="512">
        <f t="shared" si="112"/>
        <v>1794</v>
      </c>
      <c r="E1443" s="463" t="s">
        <v>171</v>
      </c>
      <c r="F1443" s="774" t="s">
        <v>263</v>
      </c>
      <c r="G1443" s="924"/>
      <c r="H1443" s="922"/>
      <c r="I1443" s="923" t="s">
        <v>1062</v>
      </c>
      <c r="J1443" s="198" t="str">
        <f>IF(F1443="","Belum Terisi",IF(AND(F1441="Tidak Ada",F1443&lt;&gt;"Tidak Ada"),"CEK",IF(AND(F1441&lt;&gt;"Tidak Ada",F1443="Tidak Ada"),"CEK","")))</f>
        <v/>
      </c>
      <c r="K1443" s="31" t="str">
        <f>IF(J1443="CEK","Program Pembangunan di Desa "&amp;F1441,"")</f>
        <v/>
      </c>
      <c r="L1443" s="31"/>
      <c r="M1443" s="21"/>
      <c r="N1443" s="21"/>
      <c r="O1443" s="21"/>
      <c r="P1443" s="21"/>
      <c r="Q1443" s="21"/>
      <c r="R1443" s="21"/>
      <c r="S1443" s="21"/>
      <c r="T1443" s="21"/>
      <c r="U1443" s="21"/>
      <c r="V1443" s="21"/>
    </row>
    <row r="1444" spans="1:22" s="2" customFormat="1" ht="30" customHeight="1" x14ac:dyDescent="0.25">
      <c r="A1444" s="676">
        <f>A1441+1</f>
        <v>409</v>
      </c>
      <c r="B1444" s="395" t="s">
        <v>41</v>
      </c>
      <c r="C1444" s="396" t="s">
        <v>1106</v>
      </c>
      <c r="D1444" s="512">
        <f t="shared" si="112"/>
        <v>1795</v>
      </c>
      <c r="E1444" s="463" t="s">
        <v>171</v>
      </c>
      <c r="F1444" s="790" t="s">
        <v>263</v>
      </c>
      <c r="G1444" s="924"/>
      <c r="H1444" s="922"/>
      <c r="I1444" s="923" t="s">
        <v>1063</v>
      </c>
      <c r="J1444" s="198" t="str">
        <f>IF(F1444="","Belum Terisi",IF(AND($F$1434="Tidak Ada",F1444&lt;&gt;"Tidak Ada"),"CEK",""))</f>
        <v/>
      </c>
      <c r="K1444" s="31" t="str">
        <f>IF(J1444="CEK",$F$1434&amp;" Program Pembangunan yang Bersumber dari APBD Provinsi","")</f>
        <v/>
      </c>
      <c r="L1444" s="31"/>
      <c r="M1444" s="21"/>
      <c r="N1444" s="21"/>
      <c r="O1444" s="21"/>
      <c r="P1444" s="21"/>
      <c r="Q1444" s="21"/>
      <c r="R1444" s="21"/>
      <c r="S1444" s="21"/>
      <c r="T1444" s="21"/>
      <c r="U1444" s="21"/>
      <c r="V1444" s="21"/>
    </row>
    <row r="1445" spans="1:22" s="2" customFormat="1" ht="30" customHeight="1" x14ac:dyDescent="0.25">
      <c r="A1445" s="677"/>
      <c r="B1445" s="395" t="s">
        <v>139</v>
      </c>
      <c r="C1445" s="396" t="s">
        <v>1095</v>
      </c>
      <c r="D1445" s="512">
        <f t="shared" si="112"/>
        <v>1796</v>
      </c>
      <c r="E1445" s="531" t="s">
        <v>174</v>
      </c>
      <c r="F1445" s="791" t="s">
        <v>240</v>
      </c>
      <c r="G1445" s="924"/>
      <c r="H1445" s="922"/>
      <c r="I1445" s="923" t="s">
        <v>1064</v>
      </c>
      <c r="J1445" s="198" t="str">
        <f>IF(F1445="","Belum Terisi",IF(AND(F1444="Tidak Ada",F1445&lt;&gt;"-"),"CEK",IF(AND(F1444&lt;&gt;"Tidak Ada",F1445="-"),"CEK","")))</f>
        <v/>
      </c>
      <c r="K1445" s="31" t="str">
        <f>IF(J1445="CEK","Program Pembangunan di Desa "&amp;F1444,"")</f>
        <v/>
      </c>
      <c r="L1445" s="31"/>
      <c r="M1445" s="21"/>
      <c r="N1445" s="21"/>
      <c r="O1445" s="21"/>
      <c r="P1445" s="21"/>
      <c r="Q1445" s="21"/>
      <c r="R1445" s="21"/>
      <c r="S1445" s="21"/>
      <c r="T1445" s="21"/>
      <c r="U1445" s="21"/>
      <c r="V1445" s="21"/>
    </row>
    <row r="1446" spans="1:22" s="2" customFormat="1" ht="30" customHeight="1" x14ac:dyDescent="0.25">
      <c r="A1446" s="677"/>
      <c r="B1446" s="399" t="s">
        <v>251</v>
      </c>
      <c r="C1446" s="396" t="s">
        <v>1100</v>
      </c>
      <c r="D1446" s="512">
        <f t="shared" si="112"/>
        <v>1797</v>
      </c>
      <c r="E1446" s="463" t="s">
        <v>171</v>
      </c>
      <c r="F1446" s="774" t="s">
        <v>263</v>
      </c>
      <c r="G1446" s="924"/>
      <c r="H1446" s="922"/>
      <c r="I1446" s="923" t="s">
        <v>1065</v>
      </c>
      <c r="J1446" s="198" t="str">
        <f>IF(F1446="","Belum Terisi",IF(AND(F1444="Tidak Ada",F1446&lt;&gt;"Tidak Ada"),"CEK",IF(AND(F1444&lt;&gt;"Tidak Ada",F1446="Tidak Ada"),"CEK","")))</f>
        <v/>
      </c>
      <c r="K1446" s="31" t="str">
        <f>IF(J1446="CEK","Program Pembangunan di Desa "&amp;F1444,"")</f>
        <v/>
      </c>
      <c r="L1446" s="31"/>
      <c r="M1446" s="21"/>
      <c r="N1446" s="21"/>
      <c r="O1446" s="21"/>
      <c r="P1446" s="21"/>
      <c r="Q1446" s="21"/>
      <c r="R1446" s="21"/>
      <c r="S1446" s="21"/>
      <c r="T1446" s="21"/>
      <c r="U1446" s="21"/>
      <c r="V1446" s="21"/>
    </row>
    <row r="1447" spans="1:22" s="2" customFormat="1" ht="30" customHeight="1" x14ac:dyDescent="0.25">
      <c r="A1447" s="676">
        <f>A1444+1</f>
        <v>410</v>
      </c>
      <c r="B1447" s="395" t="s">
        <v>41</v>
      </c>
      <c r="C1447" s="396" t="s">
        <v>1107</v>
      </c>
      <c r="D1447" s="512">
        <f t="shared" si="112"/>
        <v>1798</v>
      </c>
      <c r="E1447" s="463" t="s">
        <v>171</v>
      </c>
      <c r="F1447" s="790" t="s">
        <v>263</v>
      </c>
      <c r="G1447" s="924"/>
      <c r="H1447" s="922"/>
      <c r="I1447" s="923" t="s">
        <v>1066</v>
      </c>
      <c r="J1447" s="198" t="str">
        <f>IF(F1447="","Belum Terisi",IF(AND(F1434="Tidak Ada",F1447&lt;&gt;"Tidak Ada"),"CEK",""))</f>
        <v/>
      </c>
      <c r="K1447" s="31" t="str">
        <f>IF(J1447="CEK",F1434&amp;" Program Pembangunan yang Bersumber dari APBD Provinsi","")</f>
        <v/>
      </c>
      <c r="L1447" s="31"/>
      <c r="M1447" s="21"/>
      <c r="N1447" s="21"/>
      <c r="O1447" s="21"/>
      <c r="P1447" s="21"/>
      <c r="Q1447" s="21"/>
      <c r="R1447" s="21"/>
      <c r="S1447" s="21"/>
      <c r="T1447" s="21"/>
      <c r="U1447" s="21"/>
      <c r="V1447" s="21"/>
    </row>
    <row r="1448" spans="1:22" s="2" customFormat="1" ht="30" customHeight="1" x14ac:dyDescent="0.25">
      <c r="A1448" s="677"/>
      <c r="B1448" s="395" t="s">
        <v>139</v>
      </c>
      <c r="C1448" s="396" t="s">
        <v>1096</v>
      </c>
      <c r="D1448" s="512">
        <f t="shared" si="112"/>
        <v>1799</v>
      </c>
      <c r="E1448" s="531" t="s">
        <v>174</v>
      </c>
      <c r="F1448" s="791" t="s">
        <v>240</v>
      </c>
      <c r="G1448" s="924"/>
      <c r="H1448" s="922"/>
      <c r="I1448" s="923" t="s">
        <v>1067</v>
      </c>
      <c r="J1448" s="198" t="str">
        <f>IF(F1448="","Belum Terisi",IF(AND(F1447="Tidak Ada",F1448&lt;&gt;"-"),"CEK",IF(AND(F1447&lt;&gt;"Tidak Ada",F1448="-"),"CEK","")))</f>
        <v/>
      </c>
      <c r="K1448" s="31" t="str">
        <f>IF(J1448="CEK","Program Pembangunan di Desa "&amp;$F$1447,"")</f>
        <v/>
      </c>
      <c r="L1448" s="31"/>
      <c r="M1448" s="21"/>
      <c r="N1448" s="21"/>
      <c r="O1448" s="21"/>
      <c r="P1448" s="21"/>
      <c r="Q1448" s="21"/>
      <c r="R1448" s="21"/>
      <c r="S1448" s="21"/>
      <c r="T1448" s="21"/>
      <c r="U1448" s="21"/>
      <c r="V1448" s="21"/>
    </row>
    <row r="1449" spans="1:22" s="2" customFormat="1" ht="30" customHeight="1" x14ac:dyDescent="0.25">
      <c r="A1449" s="678"/>
      <c r="B1449" s="395" t="s">
        <v>251</v>
      </c>
      <c r="C1449" s="396" t="s">
        <v>1101</v>
      </c>
      <c r="D1449" s="512">
        <f t="shared" si="112"/>
        <v>1800</v>
      </c>
      <c r="E1449" s="463" t="s">
        <v>171</v>
      </c>
      <c r="F1449" s="774" t="s">
        <v>263</v>
      </c>
      <c r="G1449" s="924"/>
      <c r="H1449" s="922"/>
      <c r="I1449" s="923" t="s">
        <v>1068</v>
      </c>
      <c r="J1449" s="198" t="str">
        <f>IF(F1449="","Belum Terisi",IF(AND(F1447="Tidak Ada",F1449&lt;&gt;"Tidak Ada"),"CEK",IF(AND(F1447&lt;&gt;"Tidak Ada",F1449="Tidak Ada"),"CEK","")))</f>
        <v/>
      </c>
      <c r="K1449" s="31" t="str">
        <f>IF(J1449="CEK","Program Pembangunan di Desa "&amp;F1447,"")</f>
        <v/>
      </c>
      <c r="L1449" s="31"/>
      <c r="M1449" s="21"/>
      <c r="N1449" s="21"/>
      <c r="O1449" s="21"/>
      <c r="P1449" s="21"/>
      <c r="Q1449" s="21"/>
      <c r="R1449" s="21"/>
      <c r="S1449" s="21"/>
      <c r="T1449" s="21"/>
      <c r="U1449" s="21"/>
      <c r="V1449" s="21"/>
    </row>
    <row r="1450" spans="1:22" s="2" customFormat="1" ht="30" customHeight="1" x14ac:dyDescent="0.25">
      <c r="A1450" s="675">
        <f>A1447+1</f>
        <v>411</v>
      </c>
      <c r="B1450" s="393"/>
      <c r="C1450" s="394" t="s">
        <v>942</v>
      </c>
      <c r="D1450" s="512">
        <f t="shared" si="112"/>
        <v>1801</v>
      </c>
      <c r="E1450" s="463" t="s">
        <v>171</v>
      </c>
      <c r="F1450" s="764" t="s">
        <v>263</v>
      </c>
      <c r="G1450" s="924"/>
      <c r="H1450" s="922"/>
      <c r="I1450" s="923" t="s">
        <v>1069</v>
      </c>
      <c r="J1450" s="198" t="str">
        <f>IF(LEN(F1450)&gt;0,"","Belum Terisi")</f>
        <v/>
      </c>
      <c r="K1450" s="31"/>
      <c r="L1450" s="31"/>
      <c r="M1450" s="21"/>
      <c r="N1450" s="21"/>
      <c r="O1450" s="21"/>
      <c r="P1450" s="21"/>
      <c r="Q1450" s="21"/>
      <c r="R1450" s="21"/>
      <c r="S1450" s="21"/>
      <c r="T1450" s="21"/>
      <c r="U1450" s="21"/>
      <c r="V1450" s="21"/>
    </row>
    <row r="1451" spans="1:22" s="2" customFormat="1" ht="30" customHeight="1" x14ac:dyDescent="0.25">
      <c r="A1451" s="676">
        <f>A1450+1</f>
        <v>412</v>
      </c>
      <c r="B1451" s="397" t="s">
        <v>41</v>
      </c>
      <c r="C1451" s="396" t="s">
        <v>1092</v>
      </c>
      <c r="D1451" s="512">
        <f t="shared" si="112"/>
        <v>1802</v>
      </c>
      <c r="E1451" s="463" t="s">
        <v>171</v>
      </c>
      <c r="F1451" s="790" t="s">
        <v>263</v>
      </c>
      <c r="G1451" s="924"/>
      <c r="H1451" s="922"/>
      <c r="I1451" s="923" t="s">
        <v>1070</v>
      </c>
      <c r="J1451" s="198" t="str">
        <f>IF(F1451="","Belum Terisi",IF(AND($F$1450="Tidak Ada",F1451&lt;&gt;"Tidak Ada"),"CEK",""))</f>
        <v/>
      </c>
      <c r="K1451" s="31" t="str">
        <f>IF(J1451="CEK",$F$1450&amp;" Program Pembangunan yang Bersumber dari APBN","")</f>
        <v/>
      </c>
      <c r="L1451" s="31"/>
      <c r="M1451" s="21"/>
      <c r="N1451" s="21"/>
      <c r="O1451" s="21"/>
      <c r="P1451" s="21"/>
      <c r="Q1451" s="21"/>
      <c r="R1451" s="21"/>
      <c r="S1451" s="21"/>
      <c r="T1451" s="21"/>
      <c r="U1451" s="21"/>
      <c r="V1451" s="21"/>
    </row>
    <row r="1452" spans="1:22" s="2" customFormat="1" ht="30" customHeight="1" x14ac:dyDescent="0.25">
      <c r="A1452" s="677"/>
      <c r="B1452" s="395" t="s">
        <v>139</v>
      </c>
      <c r="C1452" s="396" t="s">
        <v>1097</v>
      </c>
      <c r="D1452" s="512">
        <f t="shared" si="112"/>
        <v>1803</v>
      </c>
      <c r="E1452" s="531" t="s">
        <v>174</v>
      </c>
      <c r="F1452" s="791" t="s">
        <v>240</v>
      </c>
      <c r="G1452" s="924"/>
      <c r="H1452" s="922"/>
      <c r="I1452" s="923" t="s">
        <v>1071</v>
      </c>
      <c r="J1452" s="198" t="str">
        <f>IF(F1452="","Belum Terisi",IF(AND(F1451="Tidak Ada",F1452&lt;&gt;"-"),"CEK",IF(AND(F1451&lt;&gt;"Tidak Ada",F1452="-"),"CEK","")))</f>
        <v/>
      </c>
      <c r="K1452" s="31" t="str">
        <f>IF(J1452="CEK","Program Pembangunan di Desa "&amp;F1451,"")</f>
        <v/>
      </c>
      <c r="L1452" s="31"/>
      <c r="M1452" s="21"/>
      <c r="N1452" s="21"/>
      <c r="O1452" s="21"/>
      <c r="P1452" s="21"/>
      <c r="Q1452" s="21"/>
      <c r="R1452" s="21"/>
      <c r="S1452" s="21"/>
      <c r="T1452" s="21"/>
      <c r="U1452" s="21"/>
      <c r="V1452" s="21"/>
    </row>
    <row r="1453" spans="1:22" s="2" customFormat="1" ht="30" customHeight="1" x14ac:dyDescent="0.25">
      <c r="A1453" s="677"/>
      <c r="B1453" s="395" t="s">
        <v>251</v>
      </c>
      <c r="C1453" s="396" t="s">
        <v>1102</v>
      </c>
      <c r="D1453" s="512">
        <f t="shared" si="112"/>
        <v>1804</v>
      </c>
      <c r="E1453" s="463" t="s">
        <v>171</v>
      </c>
      <c r="F1453" s="791" t="s">
        <v>263</v>
      </c>
      <c r="G1453" s="924"/>
      <c r="H1453" s="922"/>
      <c r="I1453" s="923" t="s">
        <v>1072</v>
      </c>
      <c r="J1453" s="198" t="str">
        <f>IF(F1453="","Belum Terisi",IF(AND(F1451="Tidak Ada",F1453&lt;&gt;"Tidak Ada"),"CEK",IF(AND(F1451&lt;&gt;"Tidak Ada",F1453="Tidak Ada"),"CEK","")))</f>
        <v/>
      </c>
      <c r="K1453" s="31" t="str">
        <f>IF(J1453="CEK","Program Pembangunan di Desa "&amp;F1451,"")</f>
        <v/>
      </c>
      <c r="L1453" s="31"/>
      <c r="M1453" s="21"/>
      <c r="N1453" s="21"/>
      <c r="O1453" s="21"/>
      <c r="P1453" s="21"/>
      <c r="Q1453" s="21"/>
      <c r="R1453" s="21"/>
      <c r="S1453" s="21"/>
      <c r="T1453" s="21"/>
      <c r="U1453" s="21"/>
      <c r="V1453" s="21"/>
    </row>
    <row r="1454" spans="1:22" s="2" customFormat="1" ht="40.15" customHeight="1" x14ac:dyDescent="0.25">
      <c r="A1454" s="677"/>
      <c r="B1454" s="399" t="s">
        <v>255</v>
      </c>
      <c r="C1454" s="396" t="s">
        <v>1103</v>
      </c>
      <c r="D1454" s="512">
        <f t="shared" si="112"/>
        <v>1805</v>
      </c>
      <c r="E1454" s="463" t="s">
        <v>171</v>
      </c>
      <c r="F1454" s="774" t="s">
        <v>263</v>
      </c>
      <c r="G1454" s="924"/>
      <c r="H1454" s="922"/>
      <c r="I1454" s="923" t="s">
        <v>1073</v>
      </c>
      <c r="J1454" s="198" t="str">
        <f>IF(F1454="","Belum Terisi",IF(AND(F1451="Tidak Ada",F1454&lt;&gt;"Tidak Ada"),"CEK",""))</f>
        <v/>
      </c>
      <c r="K1454" s="31" t="str">
        <f>IF(J1454="CEK","Program Pembangunan di Desa "&amp;F1451,"")</f>
        <v/>
      </c>
      <c r="L1454" s="31"/>
      <c r="M1454" s="21"/>
      <c r="N1454" s="21"/>
      <c r="O1454" s="21"/>
      <c r="P1454" s="21"/>
      <c r="Q1454" s="21"/>
      <c r="R1454" s="21"/>
      <c r="S1454" s="21"/>
      <c r="T1454" s="21"/>
      <c r="U1454" s="21"/>
      <c r="V1454" s="21"/>
    </row>
    <row r="1455" spans="1:22" s="2" customFormat="1" ht="30" customHeight="1" x14ac:dyDescent="0.25">
      <c r="A1455" s="676">
        <f>A1451+1</f>
        <v>413</v>
      </c>
      <c r="B1455" s="397" t="s">
        <v>41</v>
      </c>
      <c r="C1455" s="396" t="s">
        <v>1104</v>
      </c>
      <c r="D1455" s="512">
        <f t="shared" si="112"/>
        <v>1806</v>
      </c>
      <c r="E1455" s="463" t="s">
        <v>171</v>
      </c>
      <c r="F1455" s="790" t="s">
        <v>263</v>
      </c>
      <c r="G1455" s="924"/>
      <c r="H1455" s="922"/>
      <c r="I1455" s="923" t="s">
        <v>1074</v>
      </c>
      <c r="J1455" s="198" t="str">
        <f>IF(F1455="","Belum Terisi",IF(AND($F$1450="Tidak Ada",F1455&lt;&gt;"Tidak Ada"),"CEK",""))</f>
        <v/>
      </c>
      <c r="K1455" s="31" t="str">
        <f>IF(J1455="CEK",$F$1450&amp;" Program Pembangunan yang Bersumber dari APBN","")</f>
        <v/>
      </c>
      <c r="L1455" s="31"/>
      <c r="M1455" s="21"/>
      <c r="N1455" s="21"/>
      <c r="O1455" s="21"/>
      <c r="P1455" s="21"/>
      <c r="Q1455" s="21"/>
      <c r="R1455" s="21"/>
      <c r="S1455" s="21"/>
      <c r="T1455" s="21"/>
      <c r="U1455" s="21"/>
      <c r="V1455" s="21"/>
    </row>
    <row r="1456" spans="1:22" s="2" customFormat="1" ht="30" customHeight="1" x14ac:dyDescent="0.25">
      <c r="A1456" s="677"/>
      <c r="B1456" s="395" t="s">
        <v>139</v>
      </c>
      <c r="C1456" s="396" t="s">
        <v>1093</v>
      </c>
      <c r="D1456" s="512">
        <f t="shared" si="112"/>
        <v>1807</v>
      </c>
      <c r="E1456" s="531" t="s">
        <v>174</v>
      </c>
      <c r="F1456" s="791" t="s">
        <v>240</v>
      </c>
      <c r="G1456" s="924"/>
      <c r="H1456" s="922"/>
      <c r="I1456" s="923" t="s">
        <v>1075</v>
      </c>
      <c r="J1456" s="198" t="str">
        <f>IF(F1456="","Belum Terisi",IF(AND(F1455="Tidak Ada",F1456&lt;&gt;"-"),"CEK",IF(AND(F1455&lt;&gt;"Tidak Ada",F1456="-"),"CEK","")))</f>
        <v/>
      </c>
      <c r="K1456" s="31" t="str">
        <f>IF(J1456="CEK","Program Pembangunan di Desa "&amp;F1455,"")</f>
        <v/>
      </c>
      <c r="L1456" s="31"/>
      <c r="M1456" s="21"/>
      <c r="N1456" s="21"/>
      <c r="O1456" s="21"/>
      <c r="P1456" s="21"/>
      <c r="Q1456" s="21"/>
      <c r="R1456" s="21"/>
      <c r="S1456" s="21"/>
      <c r="T1456" s="21"/>
      <c r="U1456" s="21"/>
      <c r="V1456" s="21"/>
    </row>
    <row r="1457" spans="1:22" s="2" customFormat="1" ht="30" customHeight="1" x14ac:dyDescent="0.25">
      <c r="A1457" s="677"/>
      <c r="B1457" s="395" t="s">
        <v>251</v>
      </c>
      <c r="C1457" s="396" t="s">
        <v>1098</v>
      </c>
      <c r="D1457" s="512">
        <f t="shared" si="112"/>
        <v>1808</v>
      </c>
      <c r="E1457" s="463" t="s">
        <v>171</v>
      </c>
      <c r="F1457" s="791" t="s">
        <v>263</v>
      </c>
      <c r="G1457" s="924"/>
      <c r="H1457" s="922"/>
      <c r="I1457" s="923" t="s">
        <v>1076</v>
      </c>
      <c r="J1457" s="198" t="str">
        <f>IF(F1457="","Belum Terisi",IF(AND(F1455="Tidak Ada",F1457&lt;&gt;"Tidak Ada"),"CEK",IF(AND(F1455&lt;&gt;"Tidak Ada",F1457="Tidak Ada"),"CEK","")))</f>
        <v/>
      </c>
      <c r="K1457" s="31" t="str">
        <f>IF(J1457="CEK","Program Pembangunan di Desa "&amp;F1455,"")</f>
        <v/>
      </c>
      <c r="L1457" s="31"/>
      <c r="M1457" s="21"/>
      <c r="N1457" s="21"/>
      <c r="O1457" s="21"/>
      <c r="P1457" s="21"/>
      <c r="Q1457" s="21"/>
      <c r="R1457" s="21"/>
      <c r="S1457" s="21"/>
      <c r="T1457" s="21"/>
      <c r="U1457" s="21"/>
      <c r="V1457" s="21"/>
    </row>
    <row r="1458" spans="1:22" s="2" customFormat="1" ht="40.15" customHeight="1" x14ac:dyDescent="0.25">
      <c r="A1458" s="677"/>
      <c r="B1458" s="399" t="s">
        <v>255</v>
      </c>
      <c r="C1458" s="396" t="s">
        <v>1103</v>
      </c>
      <c r="D1458" s="512">
        <f t="shared" si="112"/>
        <v>1809</v>
      </c>
      <c r="E1458" s="463" t="s">
        <v>171</v>
      </c>
      <c r="F1458" s="774" t="s">
        <v>263</v>
      </c>
      <c r="G1458" s="924"/>
      <c r="H1458" s="922"/>
      <c r="I1458" s="923" t="s">
        <v>1077</v>
      </c>
      <c r="J1458" s="198" t="str">
        <f>IF(F1458="","Belum Terisi",IF(AND(F1455="Tidak Ada",F1458&lt;&gt;"Tidak Ada"),"CEK",""))</f>
        <v/>
      </c>
      <c r="K1458" s="31" t="str">
        <f>IF(J1458="CEK","Program Pembangunan di Desa "&amp;F1455,"")</f>
        <v/>
      </c>
      <c r="L1458" s="31"/>
      <c r="M1458" s="21"/>
      <c r="N1458" s="21"/>
      <c r="O1458" s="21"/>
      <c r="P1458" s="21"/>
      <c r="Q1458" s="21"/>
      <c r="R1458" s="21"/>
      <c r="S1458" s="21"/>
      <c r="T1458" s="21"/>
      <c r="U1458" s="21"/>
      <c r="V1458" s="21"/>
    </row>
    <row r="1459" spans="1:22" s="2" customFormat="1" ht="30" customHeight="1" x14ac:dyDescent="0.25">
      <c r="A1459" s="676">
        <f>A1455+1</f>
        <v>414</v>
      </c>
      <c r="B1459" s="397" t="s">
        <v>41</v>
      </c>
      <c r="C1459" s="396" t="s">
        <v>1105</v>
      </c>
      <c r="D1459" s="512">
        <f t="shared" si="112"/>
        <v>1810</v>
      </c>
      <c r="E1459" s="463" t="s">
        <v>171</v>
      </c>
      <c r="F1459" s="790" t="s">
        <v>263</v>
      </c>
      <c r="G1459" s="924"/>
      <c r="H1459" s="922"/>
      <c r="I1459" s="923" t="s">
        <v>1078</v>
      </c>
      <c r="J1459" s="198" t="str">
        <f>IF(F1459="","Belum Terisi",IF(AND($F$1450="Tidak Ada",F1459&lt;&gt;"Tidak Ada"),"CEK",""))</f>
        <v/>
      </c>
      <c r="K1459" s="31" t="str">
        <f>IF(J1459="CEK",$F$1450&amp;" Program Pembangunan yang Bersumber dari APBN","")</f>
        <v/>
      </c>
      <c r="L1459" s="31"/>
      <c r="M1459" s="21"/>
      <c r="N1459" s="21"/>
      <c r="O1459" s="21"/>
      <c r="P1459" s="21"/>
      <c r="Q1459" s="21"/>
      <c r="R1459" s="21"/>
      <c r="S1459" s="21"/>
      <c r="T1459" s="21"/>
      <c r="U1459" s="21"/>
      <c r="V1459" s="21"/>
    </row>
    <row r="1460" spans="1:22" s="2" customFormat="1" ht="30" customHeight="1" x14ac:dyDescent="0.25">
      <c r="A1460" s="677"/>
      <c r="B1460" s="395" t="s">
        <v>139</v>
      </c>
      <c r="C1460" s="396" t="s">
        <v>1094</v>
      </c>
      <c r="D1460" s="512">
        <f t="shared" si="112"/>
        <v>1811</v>
      </c>
      <c r="E1460" s="531" t="s">
        <v>174</v>
      </c>
      <c r="F1460" s="791" t="s">
        <v>240</v>
      </c>
      <c r="G1460" s="924"/>
      <c r="H1460" s="922"/>
      <c r="I1460" s="923" t="s">
        <v>1079</v>
      </c>
      <c r="J1460" s="198" t="str">
        <f>IF(F1460="","Belum Terisi",IF(AND(F1459="Tidak Ada",F1460&lt;&gt;"-"),"CEK",IF(AND(F1459&lt;&gt;"Tidak Ada",F1460="-"),"CEK","")))</f>
        <v/>
      </c>
      <c r="K1460" s="31" t="str">
        <f>IF(J1460="CEK","Program Pembangunan di Desa "&amp;F1459,"")</f>
        <v/>
      </c>
      <c r="L1460" s="31"/>
      <c r="M1460" s="21"/>
      <c r="N1460" s="21"/>
      <c r="O1460" s="21"/>
      <c r="P1460" s="21"/>
      <c r="Q1460" s="21"/>
      <c r="R1460" s="21"/>
      <c r="S1460" s="21"/>
      <c r="T1460" s="21"/>
      <c r="U1460" s="21"/>
      <c r="V1460" s="21"/>
    </row>
    <row r="1461" spans="1:22" s="2" customFormat="1" ht="30" customHeight="1" x14ac:dyDescent="0.25">
      <c r="A1461" s="677"/>
      <c r="B1461" s="395" t="s">
        <v>251</v>
      </c>
      <c r="C1461" s="396" t="s">
        <v>1099</v>
      </c>
      <c r="D1461" s="512">
        <f t="shared" si="112"/>
        <v>1812</v>
      </c>
      <c r="E1461" s="463" t="s">
        <v>171</v>
      </c>
      <c r="F1461" s="791" t="s">
        <v>263</v>
      </c>
      <c r="G1461" s="924"/>
      <c r="H1461" s="922"/>
      <c r="I1461" s="923" t="s">
        <v>1080</v>
      </c>
      <c r="J1461" s="198" t="str">
        <f>IF(F1461="","Belum Terisi",IF(AND(F1459="Tidak Ada",F1461&lt;&gt;"Tidak Ada"),"CEK",IF(AND(F1459&lt;&gt;"Tidak Ada",F1461="Tidak Ada"),"CEK","")))</f>
        <v/>
      </c>
      <c r="K1461" s="31" t="str">
        <f>IF(J1461="CEK","Program Pembangunan di Desa "&amp;F1459,"")</f>
        <v/>
      </c>
      <c r="L1461" s="31"/>
      <c r="M1461" s="21"/>
      <c r="N1461" s="21"/>
      <c r="O1461" s="21"/>
      <c r="P1461" s="21"/>
      <c r="Q1461" s="21"/>
      <c r="R1461" s="21"/>
      <c r="S1461" s="21"/>
      <c r="T1461" s="21"/>
      <c r="U1461" s="21"/>
      <c r="V1461" s="21"/>
    </row>
    <row r="1462" spans="1:22" s="2" customFormat="1" ht="40.15" customHeight="1" x14ac:dyDescent="0.25">
      <c r="A1462" s="677"/>
      <c r="B1462" s="399" t="s">
        <v>255</v>
      </c>
      <c r="C1462" s="396" t="s">
        <v>1103</v>
      </c>
      <c r="D1462" s="512">
        <f t="shared" si="112"/>
        <v>1813</v>
      </c>
      <c r="E1462" s="463" t="s">
        <v>171</v>
      </c>
      <c r="F1462" s="774" t="s">
        <v>263</v>
      </c>
      <c r="G1462" s="924"/>
      <c r="H1462" s="922"/>
      <c r="I1462" s="923" t="s">
        <v>1081</v>
      </c>
      <c r="J1462" s="198" t="str">
        <f>IF(F1462="","Belum Terisi",IF(AND(F1459="Tidak Ada",F1462&lt;&gt;"Tidak Ada"),"CEK",""))</f>
        <v/>
      </c>
      <c r="K1462" s="31" t="str">
        <f>IF(J1462="CEK","Program Pembangunan di Desa "&amp;F1459,"")</f>
        <v/>
      </c>
      <c r="L1462" s="31"/>
      <c r="M1462" s="21"/>
      <c r="N1462" s="21"/>
      <c r="O1462" s="21"/>
      <c r="P1462" s="21"/>
      <c r="Q1462" s="21"/>
      <c r="R1462" s="21"/>
      <c r="S1462" s="21"/>
      <c r="T1462" s="21"/>
      <c r="U1462" s="21"/>
      <c r="V1462" s="21"/>
    </row>
    <row r="1463" spans="1:22" s="2" customFormat="1" ht="30" customHeight="1" x14ac:dyDescent="0.25">
      <c r="A1463" s="676">
        <f>A1459+1</f>
        <v>415</v>
      </c>
      <c r="B1463" s="397" t="s">
        <v>41</v>
      </c>
      <c r="C1463" s="396" t="s">
        <v>1106</v>
      </c>
      <c r="D1463" s="512">
        <f t="shared" si="112"/>
        <v>1814</v>
      </c>
      <c r="E1463" s="463" t="s">
        <v>171</v>
      </c>
      <c r="F1463" s="790" t="s">
        <v>263</v>
      </c>
      <c r="G1463" s="924"/>
      <c r="H1463" s="922"/>
      <c r="I1463" s="923" t="s">
        <v>1082</v>
      </c>
      <c r="J1463" s="198" t="str">
        <f>IF(F1463="","Belum Terisi",IF(AND($F$1450="Tidak Ada",F1463&lt;&gt;"Tidak Ada"),"CEK",""))</f>
        <v/>
      </c>
      <c r="K1463" s="31" t="str">
        <f>IF(J1463="CEK",$F$1450&amp;" Program Pembangunan yang Bersumber dari APBN","")</f>
        <v/>
      </c>
      <c r="L1463" s="31"/>
      <c r="M1463" s="21"/>
      <c r="N1463" s="21"/>
      <c r="O1463" s="21"/>
      <c r="P1463" s="21"/>
      <c r="Q1463" s="21"/>
      <c r="R1463" s="21"/>
      <c r="S1463" s="21"/>
      <c r="T1463" s="21"/>
      <c r="U1463" s="21"/>
      <c r="V1463" s="21"/>
    </row>
    <row r="1464" spans="1:22" s="2" customFormat="1" ht="30" customHeight="1" x14ac:dyDescent="0.25">
      <c r="A1464" s="677"/>
      <c r="B1464" s="395" t="s">
        <v>139</v>
      </c>
      <c r="C1464" s="396" t="s">
        <v>1095</v>
      </c>
      <c r="D1464" s="512">
        <f t="shared" si="112"/>
        <v>1815</v>
      </c>
      <c r="E1464" s="531" t="s">
        <v>174</v>
      </c>
      <c r="F1464" s="791" t="s">
        <v>240</v>
      </c>
      <c r="G1464" s="924"/>
      <c r="H1464" s="922"/>
      <c r="I1464" s="923" t="s">
        <v>1083</v>
      </c>
      <c r="J1464" s="198" t="str">
        <f>IF(F1464="","Belum Terisi",IF(AND(F1463="Tidak Ada",F1464&lt;&gt;"-"),"CEK",IF(AND(F1463&lt;&gt;"Tidak Ada",F1464="-"),"CEK","")))</f>
        <v/>
      </c>
      <c r="K1464" s="31" t="str">
        <f>IF(J1464="CEK","Program Pembangunan di Desa "&amp;F1463,"")</f>
        <v/>
      </c>
      <c r="L1464" s="31"/>
      <c r="M1464" s="21"/>
      <c r="N1464" s="21"/>
      <c r="O1464" s="21"/>
      <c r="P1464" s="21"/>
      <c r="Q1464" s="21"/>
      <c r="R1464" s="21"/>
      <c r="S1464" s="21"/>
      <c r="T1464" s="21"/>
      <c r="U1464" s="21"/>
      <c r="V1464" s="21"/>
    </row>
    <row r="1465" spans="1:22" s="2" customFormat="1" ht="30" customHeight="1" x14ac:dyDescent="0.25">
      <c r="A1465" s="677"/>
      <c r="B1465" s="395" t="s">
        <v>251</v>
      </c>
      <c r="C1465" s="396" t="s">
        <v>1100</v>
      </c>
      <c r="D1465" s="512">
        <f t="shared" si="112"/>
        <v>1816</v>
      </c>
      <c r="E1465" s="463" t="s">
        <v>171</v>
      </c>
      <c r="F1465" s="791" t="s">
        <v>263</v>
      </c>
      <c r="G1465" s="924"/>
      <c r="H1465" s="922"/>
      <c r="I1465" s="923" t="s">
        <v>1084</v>
      </c>
      <c r="J1465" s="198" t="str">
        <f>IF(F1465="","Belum Terisi",IF(AND(F1463="Tidak Ada",F1465&lt;&gt;"Tidak Ada"),"CEK",IF(AND(F1463&lt;&gt;"Tidak Ada",F1465="Tidak Ada"),"CEK","")))</f>
        <v/>
      </c>
      <c r="K1465" s="31" t="str">
        <f>IF(J1465="CEK","Program Pembangunan di Desa "&amp;F1463,"")</f>
        <v/>
      </c>
      <c r="L1465" s="31"/>
      <c r="M1465" s="21"/>
      <c r="N1465" s="21"/>
      <c r="O1465" s="21"/>
      <c r="P1465" s="21"/>
      <c r="Q1465" s="21"/>
      <c r="R1465" s="21"/>
      <c r="S1465" s="21"/>
      <c r="T1465" s="21"/>
      <c r="U1465" s="21"/>
      <c r="V1465" s="21"/>
    </row>
    <row r="1466" spans="1:22" s="2" customFormat="1" ht="40.15" customHeight="1" x14ac:dyDescent="0.25">
      <c r="A1466" s="677"/>
      <c r="B1466" s="399" t="s">
        <v>255</v>
      </c>
      <c r="C1466" s="396" t="s">
        <v>1103</v>
      </c>
      <c r="D1466" s="512">
        <f t="shared" si="112"/>
        <v>1817</v>
      </c>
      <c r="E1466" s="463" t="s">
        <v>171</v>
      </c>
      <c r="F1466" s="774" t="s">
        <v>263</v>
      </c>
      <c r="G1466" s="924"/>
      <c r="H1466" s="922"/>
      <c r="I1466" s="923" t="s">
        <v>1085</v>
      </c>
      <c r="J1466" s="198" t="str">
        <f>IF(F1466="","Belum Terisi",IF(AND(F1463="Tidak Ada",F1466&lt;&gt;"Tidak Ada"),"CEK",""))</f>
        <v/>
      </c>
      <c r="K1466" s="31" t="str">
        <f>IF(J1466="CEK","Program Pembangunan di Desa "&amp;F1463,"")</f>
        <v/>
      </c>
      <c r="L1466" s="31"/>
      <c r="M1466" s="21"/>
      <c r="N1466" s="21"/>
      <c r="O1466" s="21"/>
      <c r="P1466" s="21"/>
      <c r="Q1466" s="21"/>
      <c r="R1466" s="21"/>
      <c r="S1466" s="21"/>
      <c r="T1466" s="21"/>
      <c r="U1466" s="21"/>
      <c r="V1466" s="21"/>
    </row>
    <row r="1467" spans="1:22" s="2" customFormat="1" ht="30" customHeight="1" x14ac:dyDescent="0.25">
      <c r="A1467" s="676">
        <f>A1463+1</f>
        <v>416</v>
      </c>
      <c r="B1467" s="397" t="s">
        <v>41</v>
      </c>
      <c r="C1467" s="396" t="s">
        <v>1107</v>
      </c>
      <c r="D1467" s="512">
        <f t="shared" si="112"/>
        <v>1818</v>
      </c>
      <c r="E1467" s="463" t="s">
        <v>171</v>
      </c>
      <c r="F1467" s="790" t="s">
        <v>263</v>
      </c>
      <c r="G1467" s="924"/>
      <c r="H1467" s="922"/>
      <c r="I1467" s="923" t="s">
        <v>1086</v>
      </c>
      <c r="J1467" s="198" t="str">
        <f>IF(F1467="","Belum Terisi",IF(AND($F$1450="Tidak Ada",F1467&lt;&gt;"Tidak Ada"),"CEK",""))</f>
        <v/>
      </c>
      <c r="K1467" s="31" t="str">
        <f>IF(J1467="CEK",$F$1450&amp;" Program Pembangunan yang Bersumber dari APBN","")</f>
        <v/>
      </c>
      <c r="L1467" s="31"/>
      <c r="M1467" s="21"/>
      <c r="N1467" s="21"/>
      <c r="O1467" s="21"/>
      <c r="P1467" s="21"/>
      <c r="Q1467" s="21"/>
      <c r="R1467" s="21"/>
      <c r="S1467" s="21"/>
      <c r="T1467" s="21"/>
      <c r="U1467" s="21"/>
      <c r="V1467" s="21"/>
    </row>
    <row r="1468" spans="1:22" s="2" customFormat="1" ht="30" customHeight="1" x14ac:dyDescent="0.25">
      <c r="A1468" s="677"/>
      <c r="B1468" s="395" t="s">
        <v>139</v>
      </c>
      <c r="C1468" s="396" t="s">
        <v>1096</v>
      </c>
      <c r="D1468" s="512">
        <f t="shared" si="112"/>
        <v>1819</v>
      </c>
      <c r="E1468" s="531" t="s">
        <v>174</v>
      </c>
      <c r="F1468" s="791" t="s">
        <v>240</v>
      </c>
      <c r="G1468" s="924"/>
      <c r="H1468" s="922"/>
      <c r="I1468" s="923" t="s">
        <v>1087</v>
      </c>
      <c r="J1468" s="198" t="str">
        <f>IF(F1468="","Belum Terisi",IF(AND(F1467="Tidak Ada",F1468&lt;&gt;"-"),"CEK",IF(AND(F1467&lt;&gt;"Tidak Ada",F1468="-"),"CEK","")))</f>
        <v/>
      </c>
      <c r="K1468" s="31" t="str">
        <f>IF(J1468="CEK","Program Pembangunan di Desa "&amp;F1467,"")</f>
        <v/>
      </c>
      <c r="L1468" s="31"/>
      <c r="M1468" s="21"/>
      <c r="N1468" s="21"/>
      <c r="O1468" s="21"/>
      <c r="P1468" s="21"/>
      <c r="Q1468" s="21"/>
      <c r="R1468" s="21"/>
      <c r="S1468" s="21"/>
      <c r="T1468" s="21"/>
      <c r="U1468" s="21"/>
      <c r="V1468" s="21"/>
    </row>
    <row r="1469" spans="1:22" s="2" customFormat="1" ht="30" customHeight="1" x14ac:dyDescent="0.25">
      <c r="A1469" s="677"/>
      <c r="B1469" s="395" t="s">
        <v>251</v>
      </c>
      <c r="C1469" s="396" t="s">
        <v>1101</v>
      </c>
      <c r="D1469" s="512">
        <f t="shared" si="112"/>
        <v>1820</v>
      </c>
      <c r="E1469" s="463" t="s">
        <v>171</v>
      </c>
      <c r="F1469" s="791" t="s">
        <v>263</v>
      </c>
      <c r="G1469" s="924"/>
      <c r="H1469" s="922"/>
      <c r="I1469" s="923" t="s">
        <v>1088</v>
      </c>
      <c r="J1469" s="198" t="str">
        <f>IF(F1469="","Belum Terisi",IF(AND(F1467="Tidak Ada",F1469&lt;&gt;"Tidak Ada"),"CEK",IF(AND(F1467&lt;&gt;"Tidak Ada",F1469="Tidak Ada"),"CEK","")))</f>
        <v/>
      </c>
      <c r="K1469" s="31" t="str">
        <f>IF(J1469="CEK","Program Pembangunan di Desa "&amp;F1467,"")</f>
        <v/>
      </c>
      <c r="L1469" s="31"/>
      <c r="M1469" s="21"/>
      <c r="N1469" s="21"/>
      <c r="O1469" s="21"/>
      <c r="P1469" s="21"/>
      <c r="Q1469" s="21"/>
      <c r="R1469" s="21"/>
      <c r="S1469" s="21"/>
      <c r="T1469" s="21"/>
      <c r="U1469" s="21"/>
      <c r="V1469" s="21"/>
    </row>
    <row r="1470" spans="1:22" s="2" customFormat="1" ht="40.15" customHeight="1" x14ac:dyDescent="0.25">
      <c r="A1470" s="678"/>
      <c r="B1470" s="399" t="s">
        <v>255</v>
      </c>
      <c r="C1470" s="396" t="s">
        <v>1103</v>
      </c>
      <c r="D1470" s="512">
        <f t="shared" si="112"/>
        <v>1821</v>
      </c>
      <c r="E1470" s="463" t="s">
        <v>171</v>
      </c>
      <c r="F1470" s="774" t="s">
        <v>263</v>
      </c>
      <c r="G1470" s="924"/>
      <c r="H1470" s="922"/>
      <c r="I1470" s="923" t="s">
        <v>1089</v>
      </c>
      <c r="J1470" s="198" t="str">
        <f>IF(F1470="","Belum Terisi",IF(AND(F1467="Tidak Ada",F1470&lt;&gt;"Tidak Ada"),"CEK",""))</f>
        <v/>
      </c>
      <c r="K1470" s="31" t="str">
        <f>IF(J1470="CEK","Program Pembangunan di Desa "&amp;F1467,"")</f>
        <v/>
      </c>
      <c r="L1470" s="31"/>
      <c r="M1470" s="21"/>
      <c r="N1470" s="21"/>
      <c r="O1470" s="21"/>
      <c r="P1470" s="21"/>
      <c r="Q1470" s="21"/>
      <c r="R1470" s="21"/>
      <c r="S1470" s="21"/>
      <c r="T1470" s="21"/>
      <c r="U1470" s="21"/>
      <c r="V1470" s="21"/>
    </row>
    <row r="1471" spans="1:22" s="2" customFormat="1" ht="30" customHeight="1" x14ac:dyDescent="0.25">
      <c r="A1471" s="675">
        <f>A1467+1</f>
        <v>417</v>
      </c>
      <c r="B1471" s="393"/>
      <c r="C1471" s="394" t="s">
        <v>2463</v>
      </c>
      <c r="D1471" s="512">
        <f t="shared" si="112"/>
        <v>1822</v>
      </c>
      <c r="E1471" s="463" t="s">
        <v>171</v>
      </c>
      <c r="F1471" s="764" t="s">
        <v>263</v>
      </c>
      <c r="G1471" s="924"/>
      <c r="H1471" s="922"/>
      <c r="I1471" s="923" t="s">
        <v>1090</v>
      </c>
      <c r="J1471" s="198" t="str">
        <f>IF(LEN(F1471)&gt;0,"","Belum Terisi")</f>
        <v/>
      </c>
      <c r="K1471" s="31"/>
      <c r="L1471" s="31"/>
      <c r="M1471" s="21"/>
      <c r="N1471" s="21"/>
      <c r="O1471" s="21"/>
      <c r="P1471" s="21"/>
      <c r="Q1471" s="21"/>
      <c r="R1471" s="21"/>
      <c r="S1471" s="21"/>
      <c r="T1471" s="21"/>
      <c r="U1471" s="21"/>
      <c r="V1471" s="21"/>
    </row>
    <row r="1472" spans="1:22" s="2" customFormat="1" ht="30" customHeight="1" x14ac:dyDescent="0.25">
      <c r="A1472" s="676">
        <f>A1471+1</f>
        <v>418</v>
      </c>
      <c r="B1472" s="397" t="s">
        <v>41</v>
      </c>
      <c r="C1472" s="396" t="s">
        <v>1092</v>
      </c>
      <c r="D1472" s="512">
        <f t="shared" si="112"/>
        <v>1823</v>
      </c>
      <c r="E1472" s="463" t="s">
        <v>171</v>
      </c>
      <c r="F1472" s="790" t="s">
        <v>263</v>
      </c>
      <c r="G1472" s="924"/>
      <c r="H1472" s="922"/>
      <c r="I1472" s="923" t="s">
        <v>1091</v>
      </c>
      <c r="J1472" s="198" t="str">
        <f>IF(F1472="","Belum Terisi",IF(AND($F$1471="Tidak Ada",F1472&lt;&gt;"Tidak Ada"),"CEK",""))</f>
        <v/>
      </c>
      <c r="K1472" s="31" t="str">
        <f>IF(J1472="CEK",$F$1471&amp;" Program Pembangunan yang Bersumber dari APBN","")</f>
        <v/>
      </c>
      <c r="L1472" s="31"/>
      <c r="M1472" s="21"/>
      <c r="N1472" s="21"/>
      <c r="O1472" s="21"/>
      <c r="P1472" s="21"/>
      <c r="Q1472" s="21"/>
      <c r="R1472" s="21"/>
      <c r="S1472" s="21"/>
      <c r="T1472" s="21"/>
      <c r="U1472" s="21"/>
      <c r="V1472" s="21"/>
    </row>
    <row r="1473" spans="1:22" s="2" customFormat="1" ht="30" customHeight="1" x14ac:dyDescent="0.25">
      <c r="A1473" s="677"/>
      <c r="B1473" s="395" t="s">
        <v>139</v>
      </c>
      <c r="C1473" s="396" t="s">
        <v>1097</v>
      </c>
      <c r="D1473" s="512">
        <f t="shared" si="112"/>
        <v>1824</v>
      </c>
      <c r="E1473" s="531" t="s">
        <v>174</v>
      </c>
      <c r="F1473" s="791" t="s">
        <v>240</v>
      </c>
      <c r="G1473" s="924"/>
      <c r="H1473" s="922"/>
      <c r="I1473" s="923"/>
      <c r="J1473" s="198" t="str">
        <f>IF(F1473="","Belum Terisi",IF(AND(F1472="Tidak Ada",F1473&lt;&gt;"-"),"CEK",IF(AND(F1472&lt;&gt;"Tidak Ada",F1473="-"),"CEK","")))</f>
        <v/>
      </c>
      <c r="K1473" s="31" t="str">
        <f>IF(J1473="CEK","Program Pembangunan di Desa "&amp;F1472,"")</f>
        <v/>
      </c>
      <c r="L1473" s="31"/>
      <c r="M1473" s="21"/>
      <c r="N1473" s="21"/>
      <c r="O1473" s="21"/>
      <c r="P1473" s="21"/>
      <c r="Q1473" s="21"/>
      <c r="R1473" s="21"/>
      <c r="S1473" s="21"/>
      <c r="T1473" s="21"/>
      <c r="U1473" s="21"/>
      <c r="V1473" s="21"/>
    </row>
    <row r="1474" spans="1:22" s="2" customFormat="1" ht="30" customHeight="1" x14ac:dyDescent="0.25">
      <c r="A1474" s="677"/>
      <c r="B1474" s="395" t="s">
        <v>251</v>
      </c>
      <c r="C1474" s="396" t="s">
        <v>1102</v>
      </c>
      <c r="D1474" s="512">
        <f t="shared" si="112"/>
        <v>1825</v>
      </c>
      <c r="E1474" s="463" t="s">
        <v>171</v>
      </c>
      <c r="F1474" s="791" t="s">
        <v>263</v>
      </c>
      <c r="G1474" s="924"/>
      <c r="H1474" s="922"/>
      <c r="I1474" s="923"/>
      <c r="J1474" s="198" t="str">
        <f>IF(F1474="","Belum Terisi",IF(AND(F1472="Tidak Ada",F1474&lt;&gt;"Tidak Ada"),"CEK",IF(AND(F1472&lt;&gt;"Tidak Ada",F1474="Tidak Ada"),"CEK","")))</f>
        <v/>
      </c>
      <c r="K1474" s="31" t="str">
        <f>IF(J1474="CEK","Program Pembangunan di Desa "&amp;F1472,"")</f>
        <v/>
      </c>
      <c r="L1474" s="31"/>
      <c r="M1474" s="21"/>
      <c r="N1474" s="21"/>
      <c r="O1474" s="21"/>
      <c r="P1474" s="21"/>
      <c r="Q1474" s="21"/>
      <c r="R1474" s="21"/>
      <c r="S1474" s="21"/>
      <c r="T1474" s="21"/>
      <c r="U1474" s="21"/>
      <c r="V1474" s="21"/>
    </row>
    <row r="1475" spans="1:22" s="2" customFormat="1" ht="30" customHeight="1" x14ac:dyDescent="0.25">
      <c r="A1475" s="679"/>
      <c r="B1475" s="399" t="s">
        <v>255</v>
      </c>
      <c r="C1475" s="396" t="s">
        <v>2464</v>
      </c>
      <c r="D1475" s="512">
        <f t="shared" si="112"/>
        <v>1826</v>
      </c>
      <c r="E1475" s="531" t="s">
        <v>174</v>
      </c>
      <c r="F1475" s="774" t="s">
        <v>240</v>
      </c>
      <c r="G1475" s="924"/>
      <c r="H1475" s="922"/>
      <c r="I1475" s="923"/>
      <c r="J1475" s="198" t="str">
        <f>IF(F1475="","Belum Terisi",IF(AND(F1472="Tidak Ada",F1475&lt;&gt;"Tidak Ada"),"CEK",""))</f>
        <v>CEK</v>
      </c>
      <c r="K1475" s="31" t="str">
        <f>IF(J1475="CEK","Program Pembangunan di Desa "&amp;F1472,"")</f>
        <v>Program Pembangunan di Desa Tidak Ada</v>
      </c>
      <c r="L1475" s="31"/>
      <c r="M1475" s="21"/>
      <c r="N1475" s="21"/>
      <c r="O1475" s="21"/>
      <c r="P1475" s="21"/>
      <c r="Q1475" s="21"/>
      <c r="R1475" s="21"/>
      <c r="S1475" s="21"/>
      <c r="T1475" s="21"/>
      <c r="U1475" s="21"/>
      <c r="V1475" s="21"/>
    </row>
    <row r="1476" spans="1:22" s="2" customFormat="1" ht="30" customHeight="1" x14ac:dyDescent="0.25">
      <c r="A1476" s="676">
        <f>A1472+1</f>
        <v>419</v>
      </c>
      <c r="B1476" s="397" t="s">
        <v>41</v>
      </c>
      <c r="C1476" s="396" t="s">
        <v>1104</v>
      </c>
      <c r="D1476" s="512">
        <f t="shared" si="112"/>
        <v>1827</v>
      </c>
      <c r="E1476" s="463" t="s">
        <v>171</v>
      </c>
      <c r="F1476" s="790" t="s">
        <v>263</v>
      </c>
      <c r="G1476" s="924"/>
      <c r="H1476" s="922"/>
      <c r="I1476" s="923"/>
      <c r="J1476" s="198" t="str">
        <f>IF(F1476="","Belum Terisi",IF(AND($F$1471="Tidak Ada",F1476&lt;&gt;"Tidak Ada"),"CEK",""))</f>
        <v/>
      </c>
      <c r="K1476" s="31" t="str">
        <f>IF(J1476="CEK",$F$1471&amp;" Program Pembangunan yang Bersumber dari APBN","")</f>
        <v/>
      </c>
      <c r="L1476" s="31"/>
      <c r="M1476" s="21"/>
      <c r="N1476" s="21"/>
      <c r="O1476" s="21"/>
      <c r="P1476" s="21"/>
      <c r="Q1476" s="21"/>
      <c r="R1476" s="21"/>
      <c r="S1476" s="21"/>
      <c r="T1476" s="21"/>
      <c r="U1476" s="21"/>
      <c r="V1476" s="21"/>
    </row>
    <row r="1477" spans="1:22" s="2" customFormat="1" ht="30" customHeight="1" x14ac:dyDescent="0.25">
      <c r="A1477" s="677"/>
      <c r="B1477" s="395" t="s">
        <v>139</v>
      </c>
      <c r="C1477" s="396" t="s">
        <v>1093</v>
      </c>
      <c r="D1477" s="512">
        <f t="shared" si="112"/>
        <v>1828</v>
      </c>
      <c r="E1477" s="531" t="s">
        <v>174</v>
      </c>
      <c r="F1477" s="791" t="s">
        <v>240</v>
      </c>
      <c r="G1477" s="924"/>
      <c r="H1477" s="922"/>
      <c r="I1477" s="923"/>
      <c r="J1477" s="198" t="str">
        <f>IF(F1477="","Belum Terisi",IF(AND(F1476="Tidak Ada",F1477&lt;&gt;"-"),"CEK",IF(AND(F1476&lt;&gt;"Tidak Ada",F1477="-"),"CEK","")))</f>
        <v/>
      </c>
      <c r="K1477" s="31" t="str">
        <f>IF(J1477="CEK","Program Pembangunan di Desa "&amp;F1476,"")</f>
        <v/>
      </c>
      <c r="L1477" s="31"/>
      <c r="M1477" s="21"/>
      <c r="N1477" s="21"/>
      <c r="O1477" s="21"/>
      <c r="P1477" s="21"/>
      <c r="Q1477" s="21"/>
      <c r="R1477" s="21"/>
      <c r="S1477" s="21"/>
      <c r="T1477" s="21"/>
      <c r="U1477" s="21"/>
      <c r="V1477" s="21"/>
    </row>
    <row r="1478" spans="1:22" s="2" customFormat="1" ht="30" customHeight="1" x14ac:dyDescent="0.25">
      <c r="A1478" s="677"/>
      <c r="B1478" s="395" t="s">
        <v>251</v>
      </c>
      <c r="C1478" s="396" t="s">
        <v>1098</v>
      </c>
      <c r="D1478" s="512">
        <f t="shared" si="112"/>
        <v>1829</v>
      </c>
      <c r="E1478" s="463" t="s">
        <v>171</v>
      </c>
      <c r="F1478" s="791" t="s">
        <v>263</v>
      </c>
      <c r="G1478" s="924"/>
      <c r="H1478" s="922"/>
      <c r="I1478" s="923"/>
      <c r="J1478" s="198" t="str">
        <f>IF(F1478="","Belum Terisi",IF(AND(F1476="Tidak Ada",F1478&lt;&gt;"Tidak Ada"),"CEK",IF(AND(F1476&lt;&gt;"Tidak Ada",F1478="Tidak Ada"),"CEK","")))</f>
        <v/>
      </c>
      <c r="K1478" s="31" t="str">
        <f>IF(J1478="CEK","Program Pembangunan di Desa "&amp;F1476,"")</f>
        <v/>
      </c>
      <c r="L1478" s="31"/>
      <c r="M1478" s="21"/>
      <c r="N1478" s="21"/>
      <c r="O1478" s="21"/>
      <c r="P1478" s="21"/>
      <c r="Q1478" s="21"/>
      <c r="R1478" s="21"/>
      <c r="S1478" s="21"/>
      <c r="T1478" s="21"/>
      <c r="U1478" s="21"/>
      <c r="V1478" s="21"/>
    </row>
    <row r="1479" spans="1:22" s="2" customFormat="1" ht="30" customHeight="1" x14ac:dyDescent="0.25">
      <c r="A1479" s="679"/>
      <c r="B1479" s="399" t="s">
        <v>255</v>
      </c>
      <c r="C1479" s="396" t="s">
        <v>2464</v>
      </c>
      <c r="D1479" s="512">
        <f t="shared" si="112"/>
        <v>1830</v>
      </c>
      <c r="E1479" s="531" t="s">
        <v>174</v>
      </c>
      <c r="F1479" s="774" t="s">
        <v>240</v>
      </c>
      <c r="G1479" s="924"/>
      <c r="H1479" s="922"/>
      <c r="I1479" s="923"/>
      <c r="J1479" s="198" t="str">
        <f>IF(F1479="","Belum Terisi",IF(AND(F1476="Tidak Ada",F1479&lt;&gt;"Tidak Ada"),"CEK",""))</f>
        <v>CEK</v>
      </c>
      <c r="K1479" s="31" t="str">
        <f>IF(J1479="CEK","Program Pembangunan di Desa "&amp;F1476,"")</f>
        <v>Program Pembangunan di Desa Tidak Ada</v>
      </c>
      <c r="L1479" s="31"/>
      <c r="M1479" s="21"/>
      <c r="N1479" s="21"/>
      <c r="O1479" s="21"/>
      <c r="P1479" s="21"/>
      <c r="Q1479" s="21"/>
      <c r="R1479" s="21"/>
      <c r="S1479" s="21"/>
      <c r="T1479" s="21"/>
      <c r="U1479" s="21"/>
      <c r="V1479" s="21"/>
    </row>
    <row r="1480" spans="1:22" s="2" customFormat="1" ht="30" customHeight="1" x14ac:dyDescent="0.25">
      <c r="A1480" s="676">
        <f>A1476+1</f>
        <v>420</v>
      </c>
      <c r="B1480" s="397" t="s">
        <v>41</v>
      </c>
      <c r="C1480" s="396" t="s">
        <v>1105</v>
      </c>
      <c r="D1480" s="512">
        <f t="shared" si="112"/>
        <v>1831</v>
      </c>
      <c r="E1480" s="463" t="s">
        <v>171</v>
      </c>
      <c r="F1480" s="790" t="s">
        <v>263</v>
      </c>
      <c r="G1480" s="924"/>
      <c r="H1480" s="922"/>
      <c r="I1480" s="923"/>
      <c r="J1480" s="198" t="str">
        <f>IF(F1480="","Belum Terisi",IF(AND($F$1471="Tidak Ada",F1480&lt;&gt;"Tidak Ada"),"CEK",""))</f>
        <v/>
      </c>
      <c r="K1480" s="31" t="str">
        <f>IF(J1480="CEK",$F$1471&amp;" Program Pembangunan yang Bersumber dari APBN","")</f>
        <v/>
      </c>
      <c r="L1480" s="31"/>
      <c r="M1480" s="21"/>
      <c r="N1480" s="21"/>
      <c r="O1480" s="21"/>
      <c r="P1480" s="21"/>
      <c r="Q1480" s="21"/>
      <c r="R1480" s="21"/>
      <c r="S1480" s="21"/>
      <c r="T1480" s="21"/>
      <c r="U1480" s="21"/>
      <c r="V1480" s="21"/>
    </row>
    <row r="1481" spans="1:22" s="2" customFormat="1" ht="30" customHeight="1" x14ac:dyDescent="0.25">
      <c r="A1481" s="677"/>
      <c r="B1481" s="395" t="s">
        <v>139</v>
      </c>
      <c r="C1481" s="396" t="s">
        <v>1094</v>
      </c>
      <c r="D1481" s="512">
        <f t="shared" si="112"/>
        <v>1832</v>
      </c>
      <c r="E1481" s="531" t="s">
        <v>174</v>
      </c>
      <c r="F1481" s="791" t="s">
        <v>240</v>
      </c>
      <c r="G1481" s="924"/>
      <c r="H1481" s="922"/>
      <c r="I1481" s="923"/>
      <c r="J1481" s="198" t="str">
        <f>IF(F1481="","Belum Terisi",IF(AND(F1480="Tidak Ada",F1481&lt;&gt;"-"),"CEK",IF(AND(F1480&lt;&gt;"Tidak Ada",F1481="-"),"CEK","")))</f>
        <v/>
      </c>
      <c r="K1481" s="31" t="str">
        <f>IF(J1481="CEK","Program Pembangunan di Desa "&amp;F1480,"")</f>
        <v/>
      </c>
      <c r="L1481" s="31"/>
      <c r="M1481" s="21"/>
      <c r="N1481" s="21"/>
      <c r="O1481" s="21"/>
      <c r="P1481" s="21"/>
      <c r="Q1481" s="21"/>
      <c r="R1481" s="21"/>
      <c r="S1481" s="21"/>
      <c r="T1481" s="21"/>
      <c r="U1481" s="21"/>
      <c r="V1481" s="21"/>
    </row>
    <row r="1482" spans="1:22" s="2" customFormat="1" ht="30" customHeight="1" x14ac:dyDescent="0.25">
      <c r="A1482" s="677"/>
      <c r="B1482" s="395" t="s">
        <v>251</v>
      </c>
      <c r="C1482" s="396" t="s">
        <v>1099</v>
      </c>
      <c r="D1482" s="512">
        <f t="shared" si="112"/>
        <v>1833</v>
      </c>
      <c r="E1482" s="463" t="s">
        <v>171</v>
      </c>
      <c r="F1482" s="791" t="s">
        <v>263</v>
      </c>
      <c r="G1482" s="924"/>
      <c r="H1482" s="922"/>
      <c r="I1482" s="923"/>
      <c r="J1482" s="198" t="str">
        <f>IF(F1482="","Belum Terisi",IF(AND(F1480="Tidak Ada",F1482&lt;&gt;"Tidak Ada"),"CEK",IF(AND(F1480&lt;&gt;"Tidak Ada",F1482="Tidak Ada"),"CEK","")))</f>
        <v/>
      </c>
      <c r="K1482" s="31" t="str">
        <f>IF(J1482="CEK","Program Pembangunan di Desa "&amp;F1480,"")</f>
        <v/>
      </c>
      <c r="L1482" s="31"/>
      <c r="M1482" s="21"/>
      <c r="N1482" s="21"/>
      <c r="O1482" s="21"/>
      <c r="P1482" s="21"/>
      <c r="Q1482" s="21"/>
      <c r="R1482" s="21"/>
      <c r="S1482" s="21"/>
      <c r="T1482" s="21"/>
      <c r="U1482" s="21"/>
      <c r="V1482" s="21"/>
    </row>
    <row r="1483" spans="1:22" s="2" customFormat="1" ht="30" customHeight="1" x14ac:dyDescent="0.25">
      <c r="A1483" s="679"/>
      <c r="B1483" s="399" t="s">
        <v>255</v>
      </c>
      <c r="C1483" s="396" t="s">
        <v>2464</v>
      </c>
      <c r="D1483" s="512">
        <f t="shared" si="112"/>
        <v>1834</v>
      </c>
      <c r="E1483" s="531" t="s">
        <v>174</v>
      </c>
      <c r="F1483" s="774" t="s">
        <v>240</v>
      </c>
      <c r="G1483" s="924"/>
      <c r="H1483" s="922"/>
      <c r="I1483" s="923"/>
      <c r="J1483" s="198" t="str">
        <f>IF(F1483="","Belum Terisi",IF(AND(F1480="Tidak Ada",F1483&lt;&gt;"Tidak Ada"),"CEK",""))</f>
        <v>CEK</v>
      </c>
      <c r="K1483" s="31" t="str">
        <f>IF(J1483="CEK","Program Pembangunan di Desa "&amp;F1480,"")</f>
        <v>Program Pembangunan di Desa Tidak Ada</v>
      </c>
      <c r="L1483" s="31"/>
      <c r="M1483" s="21"/>
      <c r="N1483" s="21"/>
      <c r="O1483" s="21"/>
      <c r="P1483" s="21"/>
      <c r="Q1483" s="21"/>
      <c r="R1483" s="21"/>
      <c r="S1483" s="21"/>
      <c r="T1483" s="21"/>
      <c r="U1483" s="21"/>
      <c r="V1483" s="21"/>
    </row>
    <row r="1484" spans="1:22" s="2" customFormat="1" ht="30" customHeight="1" x14ac:dyDescent="0.25">
      <c r="A1484" s="676">
        <f>A1480+1</f>
        <v>421</v>
      </c>
      <c r="B1484" s="397" t="s">
        <v>41</v>
      </c>
      <c r="C1484" s="396" t="s">
        <v>1106</v>
      </c>
      <c r="D1484" s="512">
        <f t="shared" ref="D1484:D1491" si="113">D1483+1</f>
        <v>1835</v>
      </c>
      <c r="E1484" s="463" t="s">
        <v>171</v>
      </c>
      <c r="F1484" s="790" t="s">
        <v>263</v>
      </c>
      <c r="G1484" s="924"/>
      <c r="H1484" s="922"/>
      <c r="I1484" s="923"/>
      <c r="J1484" s="198" t="str">
        <f>IF(F1484="","Belum Terisi",IF(AND($F$1471="Tidak Ada",F1484&lt;&gt;"Tidak Ada"),"CEK",""))</f>
        <v/>
      </c>
      <c r="K1484" s="31" t="str">
        <f>IF(J1484="CEK",$F$1471&amp;" Program Pembangunan yang Bersumber dari APBN","")</f>
        <v/>
      </c>
      <c r="L1484" s="31"/>
      <c r="M1484" s="21"/>
      <c r="N1484" s="21"/>
      <c r="O1484" s="21"/>
      <c r="P1484" s="21"/>
      <c r="Q1484" s="21"/>
      <c r="R1484" s="21"/>
      <c r="S1484" s="21"/>
      <c r="T1484" s="21"/>
      <c r="U1484" s="21"/>
      <c r="V1484" s="21"/>
    </row>
    <row r="1485" spans="1:22" s="2" customFormat="1" ht="30" customHeight="1" x14ac:dyDescent="0.25">
      <c r="A1485" s="677"/>
      <c r="B1485" s="395" t="s">
        <v>139</v>
      </c>
      <c r="C1485" s="396" t="s">
        <v>1095</v>
      </c>
      <c r="D1485" s="512">
        <f t="shared" si="113"/>
        <v>1836</v>
      </c>
      <c r="E1485" s="531" t="s">
        <v>174</v>
      </c>
      <c r="F1485" s="791" t="s">
        <v>240</v>
      </c>
      <c r="G1485" s="924"/>
      <c r="H1485" s="922"/>
      <c r="I1485" s="923"/>
      <c r="J1485" s="198" t="str">
        <f>IF(F1485="","Belum Terisi",IF(AND(F1484="Tidak Ada",F1485&lt;&gt;"-"),"CEK",IF(AND(F1484&lt;&gt;"Tidak Ada",F1485="-"),"CEK","")))</f>
        <v/>
      </c>
      <c r="K1485" s="31" t="str">
        <f>IF(J1485="CEK","Program Pembangunan di Desa "&amp;F1484,"")</f>
        <v/>
      </c>
      <c r="L1485" s="31"/>
      <c r="M1485" s="21"/>
      <c r="N1485" s="21"/>
      <c r="O1485" s="21"/>
      <c r="P1485" s="21"/>
      <c r="Q1485" s="21"/>
      <c r="R1485" s="21"/>
      <c r="S1485" s="21"/>
      <c r="T1485" s="21"/>
      <c r="U1485" s="21"/>
      <c r="V1485" s="21"/>
    </row>
    <row r="1486" spans="1:22" s="2" customFormat="1" ht="30" customHeight="1" x14ac:dyDescent="0.25">
      <c r="A1486" s="677"/>
      <c r="B1486" s="395" t="s">
        <v>251</v>
      </c>
      <c r="C1486" s="396" t="s">
        <v>1100</v>
      </c>
      <c r="D1486" s="512">
        <f t="shared" si="113"/>
        <v>1837</v>
      </c>
      <c r="E1486" s="463" t="s">
        <v>171</v>
      </c>
      <c r="F1486" s="791" t="s">
        <v>263</v>
      </c>
      <c r="G1486" s="924"/>
      <c r="H1486" s="922"/>
      <c r="I1486" s="923"/>
      <c r="J1486" s="198" t="str">
        <f>IF(F1486="","Belum Terisi",IF(AND(F1484="Tidak Ada",F1486&lt;&gt;"Tidak Ada"),"CEK",IF(AND(F1484&lt;&gt;"Tidak Ada",F1486="Tidak Ada"),"CEK","")))</f>
        <v/>
      </c>
      <c r="K1486" s="31" t="str">
        <f>IF(J1486="CEK","Program Pembangunan di Desa "&amp;F1484,"")</f>
        <v/>
      </c>
      <c r="L1486" s="31"/>
      <c r="M1486" s="21"/>
      <c r="N1486" s="21"/>
      <c r="O1486" s="21"/>
      <c r="P1486" s="21"/>
      <c r="Q1486" s="21"/>
      <c r="R1486" s="21"/>
      <c r="S1486" s="21"/>
      <c r="T1486" s="21"/>
      <c r="U1486" s="21"/>
      <c r="V1486" s="21"/>
    </row>
    <row r="1487" spans="1:22" s="2" customFormat="1" ht="30" customHeight="1" x14ac:dyDescent="0.25">
      <c r="A1487" s="679"/>
      <c r="B1487" s="399" t="s">
        <v>255</v>
      </c>
      <c r="C1487" s="396" t="s">
        <v>2464</v>
      </c>
      <c r="D1487" s="512">
        <f t="shared" si="113"/>
        <v>1838</v>
      </c>
      <c r="E1487" s="531" t="s">
        <v>174</v>
      </c>
      <c r="F1487" s="774" t="s">
        <v>240</v>
      </c>
      <c r="G1487" s="924"/>
      <c r="H1487" s="922"/>
      <c r="I1487" s="923"/>
      <c r="J1487" s="198" t="str">
        <f>IF(F1487="","Belum Terisi",IF(AND(F1484="Tidak Ada",F1487&lt;&gt;"Tidak Ada"),"CEK",""))</f>
        <v>CEK</v>
      </c>
      <c r="K1487" s="31" t="str">
        <f>IF(J1487="CEK","Program Pembangunan di Desa "&amp;F1484,"")</f>
        <v>Program Pembangunan di Desa Tidak Ada</v>
      </c>
      <c r="L1487" s="31"/>
      <c r="M1487" s="21"/>
      <c r="N1487" s="21"/>
      <c r="O1487" s="21"/>
      <c r="P1487" s="21"/>
      <c r="Q1487" s="21"/>
      <c r="R1487" s="21"/>
      <c r="S1487" s="21"/>
      <c r="T1487" s="21"/>
      <c r="U1487" s="21"/>
      <c r="V1487" s="21"/>
    </row>
    <row r="1488" spans="1:22" s="2" customFormat="1" ht="30" customHeight="1" x14ac:dyDescent="0.25">
      <c r="A1488" s="676">
        <f>A1484+1</f>
        <v>422</v>
      </c>
      <c r="B1488" s="397" t="s">
        <v>41</v>
      </c>
      <c r="C1488" s="396" t="s">
        <v>1107</v>
      </c>
      <c r="D1488" s="512">
        <f t="shared" si="113"/>
        <v>1839</v>
      </c>
      <c r="E1488" s="463" t="s">
        <v>171</v>
      </c>
      <c r="F1488" s="790" t="s">
        <v>263</v>
      </c>
      <c r="G1488" s="924"/>
      <c r="H1488" s="922"/>
      <c r="I1488" s="923"/>
      <c r="J1488" s="198" t="str">
        <f>IF(F1488="","Belum Terisi",IF(AND($F$1471="Tidak Ada",F1488&lt;&gt;"Tidak Ada"),"CEK",""))</f>
        <v/>
      </c>
      <c r="K1488" s="31" t="str">
        <f>IF(J1488="CEK",$F$1471&amp;" Program Pembangunan yang Bersumber dari APBN","")</f>
        <v/>
      </c>
      <c r="L1488" s="31"/>
      <c r="M1488" s="21"/>
      <c r="N1488" s="21"/>
      <c r="O1488" s="21"/>
      <c r="P1488" s="21"/>
      <c r="Q1488" s="21"/>
      <c r="R1488" s="21"/>
      <c r="S1488" s="21"/>
      <c r="T1488" s="21"/>
      <c r="U1488" s="21"/>
      <c r="V1488" s="21"/>
    </row>
    <row r="1489" spans="1:22" s="2" customFormat="1" ht="30" customHeight="1" x14ac:dyDescent="0.25">
      <c r="A1489" s="677"/>
      <c r="B1489" s="395" t="s">
        <v>139</v>
      </c>
      <c r="C1489" s="396" t="s">
        <v>1096</v>
      </c>
      <c r="D1489" s="512">
        <f t="shared" si="113"/>
        <v>1840</v>
      </c>
      <c r="E1489" s="531" t="s">
        <v>174</v>
      </c>
      <c r="F1489" s="791" t="s">
        <v>240</v>
      </c>
      <c r="G1489" s="924"/>
      <c r="H1489" s="922"/>
      <c r="I1489" s="923"/>
      <c r="J1489" s="198" t="str">
        <f>IF(F1489="","Belum Terisi",IF(AND(F1488="Tidak Ada",F1489&lt;&gt;"-"),"CEK",IF(AND(F1488&lt;&gt;"Tidak Ada",F1489="-"),"CEK","")))</f>
        <v/>
      </c>
      <c r="K1489" s="31" t="str">
        <f>IF(J1489="CEK","Program Pembangunan di Desa "&amp;F1488,"")</f>
        <v/>
      </c>
      <c r="L1489" s="31"/>
      <c r="M1489" s="21"/>
      <c r="N1489" s="21"/>
      <c r="O1489" s="21"/>
      <c r="P1489" s="21"/>
      <c r="Q1489" s="21"/>
      <c r="R1489" s="21"/>
      <c r="S1489" s="21"/>
      <c r="T1489" s="21"/>
      <c r="U1489" s="21"/>
      <c r="V1489" s="21"/>
    </row>
    <row r="1490" spans="1:22" s="2" customFormat="1" ht="30" customHeight="1" x14ac:dyDescent="0.25">
      <c r="A1490" s="677"/>
      <c r="B1490" s="395" t="s">
        <v>251</v>
      </c>
      <c r="C1490" s="400" t="s">
        <v>1101</v>
      </c>
      <c r="D1490" s="512">
        <f t="shared" si="113"/>
        <v>1841</v>
      </c>
      <c r="E1490" s="463" t="s">
        <v>171</v>
      </c>
      <c r="F1490" s="791" t="s">
        <v>263</v>
      </c>
      <c r="G1490" s="924"/>
      <c r="H1490" s="922"/>
      <c r="I1490" s="923"/>
      <c r="J1490" s="198" t="str">
        <f>IF(F1490="","Belum Terisi",IF(AND(F1488="Tidak Ada",F1490&lt;&gt;"Tidak Ada"),"CEK",IF(AND(F1488&lt;&gt;"Tidak Ada",F1490="Tidak Ada"),"CEK","")))</f>
        <v/>
      </c>
      <c r="K1490" s="31" t="str">
        <f>IF(J1490="CEK","Program Pembangunan di Desa "&amp;F1488,"")</f>
        <v/>
      </c>
      <c r="L1490" s="31"/>
      <c r="M1490" s="21"/>
      <c r="N1490" s="21"/>
      <c r="O1490" s="21"/>
      <c r="P1490" s="21"/>
      <c r="Q1490" s="21"/>
      <c r="R1490" s="21"/>
      <c r="S1490" s="21"/>
      <c r="T1490" s="21"/>
      <c r="U1490" s="21"/>
      <c r="V1490" s="21"/>
    </row>
    <row r="1491" spans="1:22" s="2" customFormat="1" ht="30" customHeight="1" x14ac:dyDescent="0.25">
      <c r="A1491" s="678"/>
      <c r="B1491" s="399" t="s">
        <v>255</v>
      </c>
      <c r="C1491" s="396" t="s">
        <v>2464</v>
      </c>
      <c r="D1491" s="512">
        <f t="shared" si="113"/>
        <v>1842</v>
      </c>
      <c r="E1491" s="463" t="s">
        <v>174</v>
      </c>
      <c r="F1491" s="774" t="s">
        <v>240</v>
      </c>
      <c r="G1491" s="924"/>
      <c r="H1491" s="922"/>
      <c r="I1491" s="923"/>
      <c r="J1491" s="198" t="str">
        <f>IF(F1491="","Belum Terisi",IF(AND(F1488="Tidak Ada",F1491&lt;&gt;"Tidak Ada"),"CEK",""))</f>
        <v>CEK</v>
      </c>
      <c r="K1491" s="31" t="str">
        <f>IF(J1491="CEK","Program Pembangunan di Desa "&amp;F1488,"")</f>
        <v>Program Pembangunan di Desa Tidak Ada</v>
      </c>
      <c r="L1491" s="31"/>
      <c r="M1491" s="21"/>
      <c r="N1491" s="21"/>
      <c r="O1491" s="21"/>
      <c r="P1491" s="21"/>
      <c r="Q1491" s="21"/>
      <c r="R1491" s="21"/>
      <c r="S1491" s="21"/>
      <c r="T1491" s="21"/>
      <c r="U1491" s="21"/>
      <c r="V1491" s="21"/>
    </row>
    <row r="1492" spans="1:22" s="2" customFormat="1" ht="30" customHeight="1" x14ac:dyDescent="0.25">
      <c r="A1492" s="867" t="s">
        <v>2640</v>
      </c>
      <c r="B1492" s="867"/>
      <c r="C1492" s="867"/>
      <c r="D1492" s="522"/>
      <c r="E1492" s="530"/>
      <c r="F1492" s="530"/>
      <c r="G1492" s="924"/>
      <c r="H1492" s="922"/>
      <c r="I1492" s="923"/>
      <c r="J1492" s="198"/>
      <c r="K1492" s="31"/>
      <c r="L1492" s="31"/>
      <c r="M1492" s="21"/>
      <c r="N1492" s="21"/>
      <c r="O1492" s="21"/>
      <c r="P1492" s="21"/>
      <c r="Q1492" s="21"/>
      <c r="R1492" s="21"/>
      <c r="S1492" s="21"/>
      <c r="T1492" s="21"/>
      <c r="U1492" s="891" t="s">
        <v>2639</v>
      </c>
      <c r="V1492" s="21"/>
    </row>
    <row r="1493" spans="1:22" s="2" customFormat="1" ht="30" customHeight="1" x14ac:dyDescent="0.25">
      <c r="A1493" s="867" t="s">
        <v>2641</v>
      </c>
      <c r="B1493" s="867"/>
      <c r="C1493" s="867"/>
      <c r="D1493" s="509"/>
      <c r="E1493" s="530"/>
      <c r="F1493" s="530"/>
      <c r="G1493" s="924"/>
      <c r="H1493" s="922"/>
      <c r="I1493" s="923"/>
      <c r="J1493" s="198"/>
      <c r="K1493" s="31"/>
      <c r="L1493" s="31"/>
      <c r="M1493" s="21"/>
      <c r="N1493" s="21"/>
      <c r="O1493" s="21"/>
      <c r="P1493" s="21"/>
      <c r="Q1493" s="21"/>
      <c r="R1493" s="21"/>
      <c r="S1493" s="21"/>
      <c r="T1493" s="21"/>
      <c r="U1493" s="891" t="s">
        <v>2639</v>
      </c>
      <c r="V1493" s="21"/>
    </row>
    <row r="1494" spans="1:22" s="2" customFormat="1" ht="40.15" customHeight="1" x14ac:dyDescent="0.25">
      <c r="A1494" s="675">
        <f>A1488+1</f>
        <v>423</v>
      </c>
      <c r="B1494" s="675"/>
      <c r="C1494" s="868" t="s">
        <v>2642</v>
      </c>
      <c r="D1494" s="512">
        <f>D1491+1</f>
        <v>1843</v>
      </c>
      <c r="E1494" s="463" t="s">
        <v>174</v>
      </c>
      <c r="F1494" s="766">
        <v>0</v>
      </c>
      <c r="G1494" s="924"/>
      <c r="H1494" s="922" t="s">
        <v>2643</v>
      </c>
      <c r="I1494" s="923"/>
      <c r="J1494" s="198" t="str">
        <f>IF(LEN(F1494)&gt;0,"","Belum Terisi")</f>
        <v/>
      </c>
      <c r="K1494" s="31"/>
      <c r="L1494" s="31"/>
      <c r="M1494" s="21"/>
      <c r="N1494" s="21"/>
      <c r="O1494" s="21"/>
      <c r="P1494" s="21"/>
      <c r="Q1494" s="21"/>
      <c r="R1494" s="21"/>
      <c r="S1494" s="21"/>
      <c r="T1494" s="21"/>
      <c r="U1494" s="891" t="s">
        <v>2639</v>
      </c>
      <c r="V1494" s="21"/>
    </row>
    <row r="1495" spans="1:22" s="2" customFormat="1" ht="30" customHeight="1" x14ac:dyDescent="0.25">
      <c r="A1495" s="675">
        <f>A1494+1</f>
        <v>424</v>
      </c>
      <c r="B1495" s="888"/>
      <c r="C1495" s="872" t="s">
        <v>2644</v>
      </c>
      <c r="D1495" s="530"/>
      <c r="E1495" s="530"/>
      <c r="F1495" s="865"/>
      <c r="G1495" s="924"/>
      <c r="H1495" s="922"/>
      <c r="I1495" s="923"/>
      <c r="J1495" s="198"/>
      <c r="K1495" s="31"/>
      <c r="L1495" s="31"/>
      <c r="M1495" s="21"/>
      <c r="N1495" s="21"/>
      <c r="O1495" s="21"/>
      <c r="P1495" s="21"/>
      <c r="Q1495" s="21"/>
      <c r="R1495" s="21"/>
      <c r="S1495" s="21"/>
      <c r="T1495" s="21"/>
      <c r="U1495" s="891" t="s">
        <v>2639</v>
      </c>
      <c r="V1495" s="21"/>
    </row>
    <row r="1496" spans="1:22" s="2" customFormat="1" ht="30" customHeight="1" x14ac:dyDescent="0.25">
      <c r="A1496" s="871"/>
      <c r="B1496" s="676" t="s">
        <v>41</v>
      </c>
      <c r="C1496" s="868" t="s">
        <v>2645</v>
      </c>
      <c r="D1496" s="512">
        <f>D1494+1</f>
        <v>1844</v>
      </c>
      <c r="E1496" s="463" t="s">
        <v>174</v>
      </c>
      <c r="F1496" s="766">
        <v>0</v>
      </c>
      <c r="G1496" s="924"/>
      <c r="H1496" s="922" t="s">
        <v>147</v>
      </c>
      <c r="I1496" s="923"/>
      <c r="J1496" s="198" t="str">
        <f t="shared" ref="J1496:J1508" si="114">IF(LEN(F1496)&gt;0,"","Belum Terisi")</f>
        <v/>
      </c>
      <c r="K1496" s="31"/>
      <c r="L1496" s="31"/>
      <c r="M1496" s="21"/>
      <c r="N1496" s="21"/>
      <c r="O1496" s="21"/>
      <c r="P1496" s="21"/>
      <c r="Q1496" s="21"/>
      <c r="R1496" s="21"/>
      <c r="S1496" s="21"/>
      <c r="T1496" s="21"/>
      <c r="U1496" s="891" t="s">
        <v>2639</v>
      </c>
      <c r="V1496" s="21"/>
    </row>
    <row r="1497" spans="1:22" s="2" customFormat="1" ht="30" customHeight="1" x14ac:dyDescent="0.25">
      <c r="A1497" s="871"/>
      <c r="B1497" s="676" t="s">
        <v>139</v>
      </c>
      <c r="C1497" s="868" t="s">
        <v>2646</v>
      </c>
      <c r="D1497" s="512">
        <f t="shared" ref="D1497:D1535" si="115">D1496+1</f>
        <v>1845</v>
      </c>
      <c r="E1497" s="463" t="s">
        <v>174</v>
      </c>
      <c r="F1497" s="766">
        <v>0</v>
      </c>
      <c r="G1497" s="924"/>
      <c r="H1497" s="922" t="s">
        <v>147</v>
      </c>
      <c r="I1497" s="923"/>
      <c r="J1497" s="198" t="str">
        <f t="shared" si="114"/>
        <v/>
      </c>
      <c r="K1497" s="31"/>
      <c r="L1497" s="31"/>
      <c r="M1497" s="21"/>
      <c r="N1497" s="21"/>
      <c r="O1497" s="21"/>
      <c r="P1497" s="21"/>
      <c r="Q1497" s="21"/>
      <c r="R1497" s="21"/>
      <c r="S1497" s="21"/>
      <c r="T1497" s="21"/>
      <c r="U1497" s="891" t="s">
        <v>2639</v>
      </c>
      <c r="V1497" s="21"/>
    </row>
    <row r="1498" spans="1:22" s="2" customFormat="1" ht="30" customHeight="1" x14ac:dyDescent="0.25">
      <c r="A1498" s="871"/>
      <c r="B1498" s="676" t="s">
        <v>251</v>
      </c>
      <c r="C1498" s="868" t="s">
        <v>2647</v>
      </c>
      <c r="D1498" s="512">
        <f t="shared" si="115"/>
        <v>1846</v>
      </c>
      <c r="E1498" s="463" t="s">
        <v>174</v>
      </c>
      <c r="F1498" s="766">
        <v>0</v>
      </c>
      <c r="G1498" s="924"/>
      <c r="H1498" s="922" t="s">
        <v>147</v>
      </c>
      <c r="I1498" s="923"/>
      <c r="J1498" s="198" t="str">
        <f t="shared" si="114"/>
        <v/>
      </c>
      <c r="K1498" s="31"/>
      <c r="L1498" s="31"/>
      <c r="M1498" s="21"/>
      <c r="N1498" s="21"/>
      <c r="O1498" s="21"/>
      <c r="P1498" s="21"/>
      <c r="Q1498" s="21"/>
      <c r="R1498" s="21"/>
      <c r="S1498" s="21"/>
      <c r="T1498" s="21"/>
      <c r="U1498" s="891" t="s">
        <v>2639</v>
      </c>
      <c r="V1498" s="21"/>
    </row>
    <row r="1499" spans="1:22" s="2" customFormat="1" ht="30" customHeight="1" x14ac:dyDescent="0.25">
      <c r="A1499" s="871"/>
      <c r="B1499" s="676" t="s">
        <v>255</v>
      </c>
      <c r="C1499" s="868" t="s">
        <v>2648</v>
      </c>
      <c r="D1499" s="512">
        <f t="shared" si="115"/>
        <v>1847</v>
      </c>
      <c r="E1499" s="463" t="s">
        <v>174</v>
      </c>
      <c r="F1499" s="766">
        <v>0</v>
      </c>
      <c r="G1499" s="924"/>
      <c r="H1499" s="922" t="s">
        <v>147</v>
      </c>
      <c r="I1499" s="923"/>
      <c r="J1499" s="198" t="str">
        <f t="shared" si="114"/>
        <v/>
      </c>
      <c r="K1499" s="31"/>
      <c r="L1499" s="31"/>
      <c r="M1499" s="21"/>
      <c r="N1499" s="21"/>
      <c r="O1499" s="21"/>
      <c r="P1499" s="21"/>
      <c r="Q1499" s="21"/>
      <c r="R1499" s="21"/>
      <c r="S1499" s="21"/>
      <c r="T1499" s="21"/>
      <c r="U1499" s="891" t="s">
        <v>2639</v>
      </c>
      <c r="V1499" s="21"/>
    </row>
    <row r="1500" spans="1:22" s="2" customFormat="1" ht="30" customHeight="1" x14ac:dyDescent="0.25">
      <c r="A1500" s="871"/>
      <c r="B1500" s="676" t="s">
        <v>252</v>
      </c>
      <c r="C1500" s="868" t="s">
        <v>2649</v>
      </c>
      <c r="D1500" s="512">
        <f t="shared" si="115"/>
        <v>1848</v>
      </c>
      <c r="E1500" s="463" t="s">
        <v>174</v>
      </c>
      <c r="F1500" s="766">
        <v>0</v>
      </c>
      <c r="G1500" s="924"/>
      <c r="H1500" s="922" t="s">
        <v>147</v>
      </c>
      <c r="I1500" s="923"/>
      <c r="J1500" s="198" t="str">
        <f t="shared" si="114"/>
        <v/>
      </c>
      <c r="K1500" s="31"/>
      <c r="L1500" s="31"/>
      <c r="M1500" s="21"/>
      <c r="N1500" s="21"/>
      <c r="O1500" s="21"/>
      <c r="P1500" s="21"/>
      <c r="Q1500" s="21"/>
      <c r="R1500" s="21"/>
      <c r="S1500" s="21"/>
      <c r="T1500" s="21"/>
      <c r="U1500" s="891" t="s">
        <v>2639</v>
      </c>
      <c r="V1500" s="21"/>
    </row>
    <row r="1501" spans="1:22" s="2" customFormat="1" ht="30" customHeight="1" x14ac:dyDescent="0.25">
      <c r="A1501" s="871"/>
      <c r="B1501" s="676" t="s">
        <v>253</v>
      </c>
      <c r="C1501" s="868" t="s">
        <v>2650</v>
      </c>
      <c r="D1501" s="512">
        <f t="shared" si="115"/>
        <v>1849</v>
      </c>
      <c r="E1501" s="463" t="s">
        <v>174</v>
      </c>
      <c r="F1501" s="766">
        <v>0</v>
      </c>
      <c r="G1501" s="924"/>
      <c r="H1501" s="922" t="s">
        <v>147</v>
      </c>
      <c r="I1501" s="923"/>
      <c r="J1501" s="198" t="str">
        <f t="shared" si="114"/>
        <v/>
      </c>
      <c r="K1501" s="31"/>
      <c r="L1501" s="31"/>
      <c r="M1501" s="21"/>
      <c r="N1501" s="21"/>
      <c r="O1501" s="21"/>
      <c r="P1501" s="21"/>
      <c r="Q1501" s="21"/>
      <c r="R1501" s="21"/>
      <c r="S1501" s="21"/>
      <c r="T1501" s="21"/>
      <c r="U1501" s="891" t="s">
        <v>2639</v>
      </c>
      <c r="V1501" s="21"/>
    </row>
    <row r="1502" spans="1:22" s="2" customFormat="1" ht="30" customHeight="1" x14ac:dyDescent="0.25">
      <c r="A1502" s="871"/>
      <c r="B1502" s="676" t="s">
        <v>254</v>
      </c>
      <c r="C1502" s="868" t="s">
        <v>2651</v>
      </c>
      <c r="D1502" s="512">
        <f t="shared" si="115"/>
        <v>1850</v>
      </c>
      <c r="E1502" s="463" t="s">
        <v>174</v>
      </c>
      <c r="F1502" s="766">
        <v>0</v>
      </c>
      <c r="G1502" s="924"/>
      <c r="H1502" s="922" t="s">
        <v>147</v>
      </c>
      <c r="I1502" s="923"/>
      <c r="J1502" s="198" t="str">
        <f t="shared" si="114"/>
        <v/>
      </c>
      <c r="K1502" s="31"/>
      <c r="L1502" s="31"/>
      <c r="M1502" s="21"/>
      <c r="N1502" s="21"/>
      <c r="O1502" s="21"/>
      <c r="P1502" s="21"/>
      <c r="Q1502" s="21"/>
      <c r="R1502" s="21"/>
      <c r="S1502" s="21"/>
      <c r="T1502" s="21"/>
      <c r="U1502" s="891" t="s">
        <v>2639</v>
      </c>
      <c r="V1502" s="21"/>
    </row>
    <row r="1503" spans="1:22" s="2" customFormat="1" ht="30" customHeight="1" x14ac:dyDescent="0.25">
      <c r="A1503" s="871"/>
      <c r="B1503" s="676" t="s">
        <v>256</v>
      </c>
      <c r="C1503" s="868" t="s">
        <v>2652</v>
      </c>
      <c r="D1503" s="512">
        <f t="shared" si="115"/>
        <v>1851</v>
      </c>
      <c r="E1503" s="463" t="s">
        <v>174</v>
      </c>
      <c r="F1503" s="766">
        <v>0</v>
      </c>
      <c r="G1503" s="924"/>
      <c r="H1503" s="922" t="s">
        <v>147</v>
      </c>
      <c r="I1503" s="923"/>
      <c r="J1503" s="198" t="str">
        <f t="shared" si="114"/>
        <v/>
      </c>
      <c r="K1503" s="31"/>
      <c r="L1503" s="31"/>
      <c r="M1503" s="21"/>
      <c r="N1503" s="21"/>
      <c r="O1503" s="21"/>
      <c r="P1503" s="21"/>
      <c r="Q1503" s="21"/>
      <c r="R1503" s="21"/>
      <c r="S1503" s="21"/>
      <c r="T1503" s="21"/>
      <c r="U1503" s="891" t="s">
        <v>2639</v>
      </c>
      <c r="V1503" s="21"/>
    </row>
    <row r="1504" spans="1:22" s="2" customFormat="1" ht="30" customHeight="1" x14ac:dyDescent="0.25">
      <c r="A1504" s="871"/>
      <c r="B1504" s="676" t="s">
        <v>257</v>
      </c>
      <c r="C1504" s="868" t="s">
        <v>2653</v>
      </c>
      <c r="D1504" s="512">
        <f t="shared" si="115"/>
        <v>1852</v>
      </c>
      <c r="E1504" s="463" t="s">
        <v>174</v>
      </c>
      <c r="F1504" s="766">
        <v>0</v>
      </c>
      <c r="G1504" s="924"/>
      <c r="H1504" s="922" t="s">
        <v>147</v>
      </c>
      <c r="I1504" s="923"/>
      <c r="J1504" s="198" t="str">
        <f t="shared" si="114"/>
        <v/>
      </c>
      <c r="K1504" s="31"/>
      <c r="L1504" s="31"/>
      <c r="M1504" s="21"/>
      <c r="N1504" s="21"/>
      <c r="O1504" s="21"/>
      <c r="P1504" s="21"/>
      <c r="Q1504" s="21"/>
      <c r="R1504" s="21"/>
      <c r="S1504" s="21"/>
      <c r="T1504" s="21"/>
      <c r="U1504" s="891" t="s">
        <v>2639</v>
      </c>
      <c r="V1504" s="21"/>
    </row>
    <row r="1505" spans="1:22" s="2" customFormat="1" ht="30" customHeight="1" x14ac:dyDescent="0.25">
      <c r="A1505" s="678"/>
      <c r="B1505" s="676" t="s">
        <v>259</v>
      </c>
      <c r="C1505" s="868" t="s">
        <v>2654</v>
      </c>
      <c r="D1505" s="512">
        <f t="shared" si="115"/>
        <v>1853</v>
      </c>
      <c r="E1505" s="463" t="s">
        <v>174</v>
      </c>
      <c r="F1505" s="766">
        <v>0</v>
      </c>
      <c r="G1505" s="924"/>
      <c r="H1505" s="922" t="s">
        <v>147</v>
      </c>
      <c r="I1505" s="923"/>
      <c r="J1505" s="198" t="str">
        <f t="shared" si="114"/>
        <v/>
      </c>
      <c r="K1505" s="31"/>
      <c r="L1505" s="31"/>
      <c r="M1505" s="21"/>
      <c r="N1505" s="21"/>
      <c r="O1505" s="21"/>
      <c r="P1505" s="21"/>
      <c r="Q1505" s="21"/>
      <c r="R1505" s="21"/>
      <c r="S1505" s="21"/>
      <c r="T1505" s="21"/>
      <c r="U1505" s="891" t="s">
        <v>2639</v>
      </c>
      <c r="V1505" s="21"/>
    </row>
    <row r="1506" spans="1:22" s="2" customFormat="1" ht="30" customHeight="1" x14ac:dyDescent="0.25">
      <c r="A1506" s="874">
        <f>A1495+1</f>
        <v>425</v>
      </c>
      <c r="B1506" s="874"/>
      <c r="C1506" s="872" t="s">
        <v>2658</v>
      </c>
      <c r="D1506" s="512">
        <f t="shared" si="115"/>
        <v>1854</v>
      </c>
      <c r="E1506" s="463" t="s">
        <v>171</v>
      </c>
      <c r="F1506" s="766" t="s">
        <v>263</v>
      </c>
      <c r="G1506" s="924"/>
      <c r="H1506" s="922"/>
      <c r="I1506" s="923"/>
      <c r="J1506" s="198" t="str">
        <f t="shared" si="114"/>
        <v/>
      </c>
      <c r="K1506" s="31"/>
      <c r="L1506" s="31"/>
      <c r="M1506" s="21"/>
      <c r="N1506" s="21"/>
      <c r="O1506" s="21"/>
      <c r="P1506" s="21"/>
      <c r="Q1506" s="21"/>
      <c r="R1506" s="21"/>
      <c r="S1506" s="21"/>
      <c r="T1506" s="21"/>
      <c r="U1506" s="891" t="s">
        <v>2639</v>
      </c>
      <c r="V1506" s="21"/>
    </row>
    <row r="1507" spans="1:22" s="2" customFormat="1" ht="40.15" customHeight="1" x14ac:dyDescent="0.25">
      <c r="A1507" s="874">
        <f>A1506+1</f>
        <v>426</v>
      </c>
      <c r="B1507" s="874"/>
      <c r="C1507" s="872" t="s">
        <v>2656</v>
      </c>
      <c r="D1507" s="512">
        <f t="shared" si="115"/>
        <v>1855</v>
      </c>
      <c r="E1507" s="463" t="s">
        <v>171</v>
      </c>
      <c r="F1507" s="766" t="s">
        <v>285</v>
      </c>
      <c r="G1507" s="924"/>
      <c r="H1507" s="922"/>
      <c r="I1507" s="923"/>
      <c r="J1507" s="198" t="str">
        <f t="shared" si="114"/>
        <v/>
      </c>
      <c r="K1507" s="31"/>
      <c r="L1507" s="31"/>
      <c r="M1507" s="21"/>
      <c r="N1507" s="21"/>
      <c r="O1507" s="21"/>
      <c r="P1507" s="21"/>
      <c r="Q1507" s="21"/>
      <c r="R1507" s="21"/>
      <c r="S1507" s="21"/>
      <c r="T1507" s="21"/>
      <c r="U1507" s="891" t="s">
        <v>2639</v>
      </c>
      <c r="V1507" s="21"/>
    </row>
    <row r="1508" spans="1:22" s="2" customFormat="1" ht="40.15" customHeight="1" x14ac:dyDescent="0.25">
      <c r="A1508" s="874">
        <f>A1507+1</f>
        <v>427</v>
      </c>
      <c r="B1508" s="874"/>
      <c r="C1508" s="872" t="s">
        <v>2657</v>
      </c>
      <c r="D1508" s="512">
        <f t="shared" si="115"/>
        <v>1856</v>
      </c>
      <c r="E1508" s="463" t="s">
        <v>174</v>
      </c>
      <c r="F1508" s="766" t="s">
        <v>240</v>
      </c>
      <c r="G1508" s="924"/>
      <c r="H1508" s="922"/>
      <c r="I1508" s="923"/>
      <c r="J1508" s="198" t="str">
        <f t="shared" si="114"/>
        <v/>
      </c>
      <c r="K1508" s="31"/>
      <c r="L1508" s="31"/>
      <c r="M1508" s="21"/>
      <c r="N1508" s="21"/>
      <c r="O1508" s="21"/>
      <c r="P1508" s="21"/>
      <c r="Q1508" s="21"/>
      <c r="R1508" s="21"/>
      <c r="S1508" s="21"/>
      <c r="T1508" s="21"/>
      <c r="U1508" s="891" t="s">
        <v>2639</v>
      </c>
      <c r="V1508" s="21"/>
    </row>
    <row r="1509" spans="1:22" s="2" customFormat="1" ht="30" customHeight="1" x14ac:dyDescent="0.25">
      <c r="A1509" s="873" t="s">
        <v>2659</v>
      </c>
      <c r="B1509" s="873"/>
      <c r="C1509" s="873"/>
      <c r="D1509" s="523"/>
      <c r="E1509" s="530"/>
      <c r="F1509" s="865"/>
      <c r="G1509" s="924"/>
      <c r="H1509" s="922"/>
      <c r="I1509" s="923"/>
      <c r="J1509" s="198"/>
      <c r="K1509" s="31"/>
      <c r="L1509" s="31"/>
      <c r="M1509" s="21"/>
      <c r="N1509" s="21"/>
      <c r="O1509" s="21"/>
      <c r="P1509" s="21"/>
      <c r="Q1509" s="21"/>
      <c r="R1509" s="21"/>
      <c r="S1509" s="21"/>
      <c r="T1509" s="21"/>
      <c r="U1509" s="891" t="s">
        <v>2639</v>
      </c>
      <c r="V1509" s="21"/>
    </row>
    <row r="1510" spans="1:22" s="2" customFormat="1" ht="40.15" customHeight="1" x14ac:dyDescent="0.25">
      <c r="A1510" s="874">
        <f>A1508+1</f>
        <v>428</v>
      </c>
      <c r="B1510" s="874"/>
      <c r="C1510" s="872" t="s">
        <v>2660</v>
      </c>
      <c r="D1510" s="524">
        <f>D1508+1</f>
        <v>1857</v>
      </c>
      <c r="E1510" s="463" t="s">
        <v>171</v>
      </c>
      <c r="F1510" s="766" t="s">
        <v>263</v>
      </c>
      <c r="G1510" s="924"/>
      <c r="H1510" s="922"/>
      <c r="I1510" s="923"/>
      <c r="J1510" s="198" t="str">
        <f t="shared" ref="J1510:J1516" si="116">IF(LEN(F1510)&gt;0,"","Belum Terisi")</f>
        <v/>
      </c>
      <c r="K1510" s="31"/>
      <c r="L1510" s="31"/>
      <c r="M1510" s="21"/>
      <c r="N1510" s="21"/>
      <c r="O1510" s="21"/>
      <c r="P1510" s="21"/>
      <c r="Q1510" s="21"/>
      <c r="R1510" s="21"/>
      <c r="S1510" s="21"/>
      <c r="T1510" s="21"/>
      <c r="U1510" s="891" t="s">
        <v>2639</v>
      </c>
      <c r="V1510" s="21"/>
    </row>
    <row r="1511" spans="1:22" s="2" customFormat="1" ht="30" customHeight="1" x14ac:dyDescent="0.25">
      <c r="A1511" s="870">
        <f>A1510+1</f>
        <v>429</v>
      </c>
      <c r="B1511" s="874" t="s">
        <v>41</v>
      </c>
      <c r="C1511" s="872" t="s">
        <v>2686</v>
      </c>
      <c r="D1511" s="524">
        <f t="shared" si="115"/>
        <v>1858</v>
      </c>
      <c r="E1511" s="514" t="s">
        <v>33</v>
      </c>
      <c r="F1511" s="892"/>
      <c r="G1511" s="924"/>
      <c r="H1511" s="922" t="s">
        <v>538</v>
      </c>
      <c r="I1511" s="962"/>
      <c r="J1511" s="198" t="str">
        <f t="shared" si="116"/>
        <v>Belum Terisi</v>
      </c>
      <c r="K1511" s="31"/>
      <c r="L1511" s="31"/>
      <c r="M1511" s="21"/>
      <c r="N1511" s="21"/>
      <c r="O1511" s="21"/>
      <c r="P1511" s="21"/>
      <c r="Q1511" s="21"/>
      <c r="R1511" s="21"/>
      <c r="S1511" s="21"/>
      <c r="T1511" s="21"/>
      <c r="U1511" s="891" t="s">
        <v>2639</v>
      </c>
      <c r="V1511" s="21"/>
    </row>
    <row r="1512" spans="1:22" s="2" customFormat="1" ht="30" customHeight="1" x14ac:dyDescent="0.25">
      <c r="A1512" s="878"/>
      <c r="B1512" s="874" t="s">
        <v>139</v>
      </c>
      <c r="C1512" s="872" t="s">
        <v>2687</v>
      </c>
      <c r="D1512" s="524">
        <f t="shared" si="115"/>
        <v>1859</v>
      </c>
      <c r="E1512" s="514" t="s">
        <v>33</v>
      </c>
      <c r="F1512" s="893"/>
      <c r="G1512" s="924"/>
      <c r="H1512" s="922" t="s">
        <v>538</v>
      </c>
      <c r="I1512" s="962"/>
      <c r="J1512" s="198" t="str">
        <f t="shared" si="116"/>
        <v>Belum Terisi</v>
      </c>
      <c r="K1512" s="31"/>
      <c r="L1512" s="31"/>
      <c r="M1512" s="21"/>
      <c r="N1512" s="21"/>
      <c r="O1512" s="21"/>
      <c r="P1512" s="21"/>
      <c r="Q1512" s="21"/>
      <c r="R1512" s="21"/>
      <c r="S1512" s="21"/>
      <c r="T1512" s="21"/>
      <c r="U1512" s="891" t="s">
        <v>2639</v>
      </c>
      <c r="V1512" s="21"/>
    </row>
    <row r="1513" spans="1:22" s="2" customFormat="1" ht="60" customHeight="1" x14ac:dyDescent="0.25">
      <c r="A1513" s="874">
        <f>A1511+1</f>
        <v>430</v>
      </c>
      <c r="B1513" s="874"/>
      <c r="C1513" s="872" t="s">
        <v>2661</v>
      </c>
      <c r="D1513" s="524">
        <f t="shared" si="115"/>
        <v>1860</v>
      </c>
      <c r="E1513" s="463" t="s">
        <v>174</v>
      </c>
      <c r="F1513" s="766" t="s">
        <v>240</v>
      </c>
      <c r="G1513" s="924"/>
      <c r="H1513" s="922"/>
      <c r="I1513" s="923"/>
      <c r="J1513" s="198" t="str">
        <f t="shared" si="116"/>
        <v/>
      </c>
      <c r="K1513" s="31"/>
      <c r="L1513" s="31"/>
      <c r="M1513" s="21"/>
      <c r="N1513" s="21"/>
      <c r="O1513" s="21"/>
      <c r="P1513" s="21"/>
      <c r="Q1513" s="21"/>
      <c r="R1513" s="21"/>
      <c r="S1513" s="21"/>
      <c r="T1513" s="21"/>
      <c r="U1513" s="891" t="s">
        <v>2639</v>
      </c>
      <c r="V1513" s="21"/>
    </row>
    <row r="1514" spans="1:22" s="2" customFormat="1" ht="30" customHeight="1" x14ac:dyDescent="0.25">
      <c r="A1514" s="870">
        <f>A1513+1</f>
        <v>431</v>
      </c>
      <c r="B1514" s="869" t="s">
        <v>41</v>
      </c>
      <c r="C1514" s="872" t="s">
        <v>2665</v>
      </c>
      <c r="D1514" s="524">
        <f t="shared" si="115"/>
        <v>1861</v>
      </c>
      <c r="E1514" s="463" t="s">
        <v>171</v>
      </c>
      <c r="F1514" s="790" t="s">
        <v>2844</v>
      </c>
      <c r="G1514" s="924"/>
      <c r="H1514" s="922" t="s">
        <v>2663</v>
      </c>
      <c r="I1514" s="923"/>
      <c r="J1514" s="198" t="str">
        <f t="shared" si="116"/>
        <v/>
      </c>
      <c r="K1514" s="31"/>
      <c r="L1514" s="31"/>
      <c r="M1514" s="21"/>
      <c r="N1514" s="21"/>
      <c r="O1514" s="21"/>
      <c r="P1514" s="21"/>
      <c r="Q1514" s="21"/>
      <c r="R1514" s="21"/>
      <c r="S1514" s="21"/>
      <c r="T1514" s="21"/>
      <c r="U1514" s="891" t="s">
        <v>2639</v>
      </c>
      <c r="V1514" s="21"/>
    </row>
    <row r="1515" spans="1:22" s="2" customFormat="1" ht="40.15" customHeight="1" x14ac:dyDescent="0.25">
      <c r="A1515" s="677"/>
      <c r="B1515" s="869" t="s">
        <v>139</v>
      </c>
      <c r="C1515" s="872" t="s">
        <v>2662</v>
      </c>
      <c r="D1515" s="524">
        <f t="shared" si="115"/>
        <v>1862</v>
      </c>
      <c r="E1515" s="463" t="s">
        <v>174</v>
      </c>
      <c r="F1515" s="791" t="s">
        <v>240</v>
      </c>
      <c r="G1515" s="924"/>
      <c r="H1515" s="922" t="s">
        <v>2664</v>
      </c>
      <c r="I1515" s="923"/>
      <c r="J1515" s="198" t="str">
        <f t="shared" si="116"/>
        <v/>
      </c>
      <c r="K1515" s="31"/>
      <c r="L1515" s="31"/>
      <c r="M1515" s="21"/>
      <c r="N1515" s="21"/>
      <c r="O1515" s="21"/>
      <c r="P1515" s="21"/>
      <c r="Q1515" s="21"/>
      <c r="R1515" s="21"/>
      <c r="S1515" s="21"/>
      <c r="T1515" s="21"/>
      <c r="U1515" s="891" t="s">
        <v>2639</v>
      </c>
      <c r="V1515" s="21"/>
    </row>
    <row r="1516" spans="1:22" s="2" customFormat="1" ht="30" customHeight="1" x14ac:dyDescent="0.25">
      <c r="A1516" s="678"/>
      <c r="B1516" s="869" t="s">
        <v>251</v>
      </c>
      <c r="C1516" s="872" t="s">
        <v>2666</v>
      </c>
      <c r="D1516" s="524">
        <f t="shared" si="115"/>
        <v>1863</v>
      </c>
      <c r="E1516" s="463" t="s">
        <v>171</v>
      </c>
      <c r="F1516" s="774" t="s">
        <v>2664</v>
      </c>
      <c r="G1516" s="924"/>
      <c r="H1516" s="922"/>
      <c r="I1516" s="923"/>
      <c r="J1516" s="198" t="str">
        <f t="shared" si="116"/>
        <v/>
      </c>
      <c r="K1516" s="31"/>
      <c r="L1516" s="31"/>
      <c r="M1516" s="21"/>
      <c r="N1516" s="21"/>
      <c r="O1516" s="21"/>
      <c r="P1516" s="21"/>
      <c r="Q1516" s="21"/>
      <c r="R1516" s="21"/>
      <c r="S1516" s="21"/>
      <c r="T1516" s="21"/>
      <c r="U1516" s="891" t="s">
        <v>2639</v>
      </c>
      <c r="V1516" s="21"/>
    </row>
    <row r="1517" spans="1:22" s="2" customFormat="1" ht="30" customHeight="1" x14ac:dyDescent="0.25">
      <c r="A1517" s="873" t="s">
        <v>2667</v>
      </c>
      <c r="B1517" s="873"/>
      <c r="C1517" s="873"/>
      <c r="D1517" s="523"/>
      <c r="E1517" s="530"/>
      <c r="F1517" s="865"/>
      <c r="G1517" s="924"/>
      <c r="H1517" s="922"/>
      <c r="I1517" s="923"/>
      <c r="J1517" s="198"/>
      <c r="K1517" s="31"/>
      <c r="L1517" s="31"/>
      <c r="M1517" s="21"/>
      <c r="N1517" s="21"/>
      <c r="O1517" s="21"/>
      <c r="P1517" s="21"/>
      <c r="Q1517" s="21"/>
      <c r="R1517" s="21"/>
      <c r="S1517" s="21"/>
      <c r="T1517" s="21"/>
      <c r="U1517" s="891" t="s">
        <v>2639</v>
      </c>
      <c r="V1517" s="21"/>
    </row>
    <row r="1518" spans="1:22" s="2" customFormat="1" ht="30" customHeight="1" x14ac:dyDescent="0.25">
      <c r="A1518" s="870">
        <f>A1514+1</f>
        <v>432</v>
      </c>
      <c r="B1518" s="874"/>
      <c r="C1518" s="872" t="s">
        <v>2668</v>
      </c>
      <c r="D1518" s="524">
        <f>D1516+1</f>
        <v>1864</v>
      </c>
      <c r="E1518" s="463" t="s">
        <v>171</v>
      </c>
      <c r="F1518" s="766" t="s">
        <v>263</v>
      </c>
      <c r="G1518" s="924"/>
      <c r="H1518" s="922"/>
      <c r="I1518" s="923"/>
      <c r="J1518" s="198" t="str">
        <f>IF(LEN(F1518)&gt;0,"","Belum Terisi")</f>
        <v/>
      </c>
      <c r="K1518" s="31"/>
      <c r="L1518" s="31"/>
      <c r="M1518" s="21"/>
      <c r="N1518" s="21"/>
      <c r="O1518" s="21"/>
      <c r="P1518" s="21"/>
      <c r="Q1518" s="21"/>
      <c r="R1518" s="21"/>
      <c r="S1518" s="21"/>
      <c r="T1518" s="21"/>
      <c r="U1518" s="891" t="s">
        <v>2639</v>
      </c>
      <c r="V1518" s="21"/>
    </row>
    <row r="1519" spans="1:22" s="2" customFormat="1" ht="40.15" customHeight="1" x14ac:dyDescent="0.25">
      <c r="A1519" s="870">
        <f>A1518+1</f>
        <v>433</v>
      </c>
      <c r="B1519" s="874"/>
      <c r="C1519" s="872" t="s">
        <v>2671</v>
      </c>
      <c r="D1519" s="524">
        <f t="shared" si="115"/>
        <v>1865</v>
      </c>
      <c r="E1519" s="463" t="s">
        <v>171</v>
      </c>
      <c r="F1519" s="766" t="s">
        <v>263</v>
      </c>
      <c r="G1519" s="924"/>
      <c r="H1519" s="922"/>
      <c r="I1519" s="923"/>
      <c r="J1519" s="198" t="str">
        <f>IF(LEN(F1519)&gt;0,"","Belum Terisi")</f>
        <v/>
      </c>
      <c r="K1519" s="31"/>
      <c r="L1519" s="31"/>
      <c r="M1519" s="21"/>
      <c r="N1519" s="21"/>
      <c r="O1519" s="21"/>
      <c r="P1519" s="21"/>
      <c r="Q1519" s="21"/>
      <c r="R1519" s="21"/>
      <c r="S1519" s="21"/>
      <c r="T1519" s="21"/>
      <c r="U1519" s="891" t="s">
        <v>2639</v>
      </c>
      <c r="V1519" s="21"/>
    </row>
    <row r="1520" spans="1:22" s="2" customFormat="1" ht="40.15" customHeight="1" x14ac:dyDescent="0.25">
      <c r="A1520" s="870">
        <f t="shared" ref="A1520:A1528" si="117">A1519+1</f>
        <v>434</v>
      </c>
      <c r="B1520" s="874"/>
      <c r="C1520" s="872" t="s">
        <v>2670</v>
      </c>
      <c r="D1520" s="524">
        <f t="shared" si="115"/>
        <v>1866</v>
      </c>
      <c r="E1520" s="463" t="s">
        <v>171</v>
      </c>
      <c r="F1520" s="766" t="s">
        <v>263</v>
      </c>
      <c r="G1520" s="924"/>
      <c r="H1520" s="922"/>
      <c r="I1520" s="923"/>
      <c r="J1520" s="198" t="str">
        <f>IF(LEN(F1520)&gt;0,"","Belum Terisi")</f>
        <v/>
      </c>
      <c r="K1520" s="31"/>
      <c r="L1520" s="31"/>
      <c r="M1520" s="21"/>
      <c r="N1520" s="21"/>
      <c r="O1520" s="21"/>
      <c r="P1520" s="21"/>
      <c r="Q1520" s="21"/>
      <c r="R1520" s="21"/>
      <c r="S1520" s="21"/>
      <c r="T1520" s="21"/>
      <c r="U1520" s="891" t="s">
        <v>2639</v>
      </c>
      <c r="V1520" s="21"/>
    </row>
    <row r="1521" spans="1:22" s="2" customFormat="1" ht="40.15" customHeight="1" x14ac:dyDescent="0.25">
      <c r="A1521" s="874">
        <f t="shared" si="117"/>
        <v>435</v>
      </c>
      <c r="B1521" s="874"/>
      <c r="C1521" s="872" t="s">
        <v>2669</v>
      </c>
      <c r="D1521" s="524">
        <f t="shared" si="115"/>
        <v>1867</v>
      </c>
      <c r="E1521" s="463" t="s">
        <v>174</v>
      </c>
      <c r="F1521" s="766" t="s">
        <v>263</v>
      </c>
      <c r="G1521" s="924"/>
      <c r="H1521" s="922"/>
      <c r="I1521" s="923"/>
      <c r="J1521" s="198" t="str">
        <f>IF(LEN(F1521)&gt;0,"","Belum Terisi")</f>
        <v/>
      </c>
      <c r="K1521" s="31"/>
      <c r="L1521" s="31"/>
      <c r="M1521" s="21"/>
      <c r="N1521" s="21"/>
      <c r="O1521" s="21"/>
      <c r="P1521" s="21"/>
      <c r="Q1521" s="21"/>
      <c r="R1521" s="21"/>
      <c r="S1521" s="21"/>
      <c r="T1521" s="21"/>
      <c r="U1521" s="891" t="s">
        <v>2639</v>
      </c>
      <c r="V1521" s="21"/>
    </row>
    <row r="1522" spans="1:22" s="2" customFormat="1" ht="30" customHeight="1" x14ac:dyDescent="0.25">
      <c r="A1522" s="873" t="s">
        <v>2672</v>
      </c>
      <c r="B1522" s="873"/>
      <c r="C1522" s="873"/>
      <c r="D1522" s="523"/>
      <c r="E1522" s="530"/>
      <c r="F1522" s="865"/>
      <c r="G1522" s="924"/>
      <c r="H1522" s="922"/>
      <c r="I1522" s="923"/>
      <c r="J1522" s="198"/>
      <c r="K1522" s="31"/>
      <c r="L1522" s="31"/>
      <c r="M1522" s="21"/>
      <c r="N1522" s="21"/>
      <c r="O1522" s="21"/>
      <c r="P1522" s="21"/>
      <c r="Q1522" s="21"/>
      <c r="R1522" s="21"/>
      <c r="S1522" s="21"/>
      <c r="T1522" s="21"/>
      <c r="U1522" s="891" t="s">
        <v>2639</v>
      </c>
      <c r="V1522" s="21"/>
    </row>
    <row r="1523" spans="1:22" s="2" customFormat="1" ht="40.15" customHeight="1" x14ac:dyDescent="0.25">
      <c r="A1523" s="874">
        <f>A1521+1</f>
        <v>436</v>
      </c>
      <c r="B1523" s="874"/>
      <c r="C1523" s="872" t="s">
        <v>2673</v>
      </c>
      <c r="D1523" s="524">
        <f>D1521+1</f>
        <v>1868</v>
      </c>
      <c r="E1523" s="463" t="s">
        <v>174</v>
      </c>
      <c r="F1523" s="766" t="s">
        <v>263</v>
      </c>
      <c r="G1523" s="924"/>
      <c r="H1523" s="922"/>
      <c r="I1523" s="923"/>
      <c r="J1523" s="198" t="str">
        <f t="shared" ref="J1523:J1528" si="118">IF(LEN(F1523)&gt;0,"","Belum Terisi")</f>
        <v/>
      </c>
      <c r="K1523" s="31"/>
      <c r="L1523" s="31"/>
      <c r="M1523" s="21"/>
      <c r="N1523" s="21"/>
      <c r="O1523" s="21"/>
      <c r="P1523" s="21"/>
      <c r="Q1523" s="21"/>
      <c r="R1523" s="21"/>
      <c r="S1523" s="21"/>
      <c r="T1523" s="21"/>
      <c r="U1523" s="891" t="s">
        <v>2639</v>
      </c>
      <c r="V1523" s="21"/>
    </row>
    <row r="1524" spans="1:22" s="2" customFormat="1" ht="30" customHeight="1" x14ac:dyDescent="0.25">
      <c r="A1524" s="870">
        <f t="shared" si="117"/>
        <v>437</v>
      </c>
      <c r="B1524" s="869" t="s">
        <v>41</v>
      </c>
      <c r="C1524" s="872" t="s">
        <v>2674</v>
      </c>
      <c r="D1524" s="524">
        <f t="shared" si="115"/>
        <v>1869</v>
      </c>
      <c r="E1524" s="523" t="s">
        <v>171</v>
      </c>
      <c r="F1524" s="790" t="s">
        <v>263</v>
      </c>
      <c r="G1524" s="924"/>
      <c r="H1524" s="922"/>
      <c r="I1524" s="923"/>
      <c r="J1524" s="198" t="str">
        <f t="shared" si="118"/>
        <v/>
      </c>
      <c r="K1524" s="31"/>
      <c r="L1524" s="31"/>
      <c r="M1524" s="21"/>
      <c r="N1524" s="21"/>
      <c r="O1524" s="21"/>
      <c r="P1524" s="21"/>
      <c r="Q1524" s="21"/>
      <c r="R1524" s="21"/>
      <c r="S1524" s="21"/>
      <c r="T1524" s="21"/>
      <c r="U1524" s="891" t="s">
        <v>2639</v>
      </c>
      <c r="V1524" s="21"/>
    </row>
    <row r="1525" spans="1:22" s="2" customFormat="1" ht="30" customHeight="1" x14ac:dyDescent="0.25">
      <c r="A1525" s="871"/>
      <c r="B1525" s="869" t="s">
        <v>139</v>
      </c>
      <c r="C1525" s="872" t="s">
        <v>2675</v>
      </c>
      <c r="D1525" s="524">
        <f t="shared" si="115"/>
        <v>1870</v>
      </c>
      <c r="E1525" s="523" t="s">
        <v>171</v>
      </c>
      <c r="F1525" s="791" t="s">
        <v>263</v>
      </c>
      <c r="G1525" s="924"/>
      <c r="H1525" s="922"/>
      <c r="I1525" s="923"/>
      <c r="J1525" s="198" t="str">
        <f t="shared" si="118"/>
        <v/>
      </c>
      <c r="K1525" s="31"/>
      <c r="L1525" s="31"/>
      <c r="M1525" s="21"/>
      <c r="N1525" s="21"/>
      <c r="O1525" s="21"/>
      <c r="P1525" s="21"/>
      <c r="Q1525" s="21"/>
      <c r="R1525" s="21"/>
      <c r="S1525" s="21"/>
      <c r="T1525" s="21"/>
      <c r="U1525" s="891" t="s">
        <v>2639</v>
      </c>
      <c r="V1525" s="21"/>
    </row>
    <row r="1526" spans="1:22" s="2" customFormat="1" ht="40.15" customHeight="1" x14ac:dyDescent="0.25">
      <c r="A1526" s="878"/>
      <c r="B1526" s="869" t="s">
        <v>251</v>
      </c>
      <c r="C1526" s="872" t="s">
        <v>2676</v>
      </c>
      <c r="D1526" s="524">
        <f t="shared" si="115"/>
        <v>1871</v>
      </c>
      <c r="E1526" s="877" t="s">
        <v>261</v>
      </c>
      <c r="F1526" s="893" t="str">
        <f>IF(F1527&gt;0,"Ada",IF(F1527=0,"Tidak Ada",""))</f>
        <v>Tidak Ada</v>
      </c>
      <c r="G1526" s="924"/>
      <c r="H1526" s="922"/>
      <c r="I1526" s="923"/>
      <c r="J1526" s="198" t="str">
        <f t="shared" si="118"/>
        <v/>
      </c>
      <c r="K1526" s="31"/>
      <c r="L1526" s="31"/>
      <c r="M1526" s="21"/>
      <c r="N1526" s="21"/>
      <c r="O1526" s="21"/>
      <c r="P1526" s="21"/>
      <c r="Q1526" s="21"/>
      <c r="R1526" s="21"/>
      <c r="S1526" s="21"/>
      <c r="T1526" s="21"/>
      <c r="U1526" s="891" t="s">
        <v>2639</v>
      </c>
      <c r="V1526" s="21"/>
    </row>
    <row r="1527" spans="1:22" s="2" customFormat="1" ht="40.15" customHeight="1" x14ac:dyDescent="0.25">
      <c r="A1527" s="874">
        <f>A1524+1</f>
        <v>438</v>
      </c>
      <c r="B1527" s="874"/>
      <c r="C1527" s="872" t="s">
        <v>2677</v>
      </c>
      <c r="D1527" s="524">
        <f t="shared" si="115"/>
        <v>1872</v>
      </c>
      <c r="E1527" s="875" t="s">
        <v>33</v>
      </c>
      <c r="F1527" s="876"/>
      <c r="G1527" s="924"/>
      <c r="H1527" s="922" t="s">
        <v>542</v>
      </c>
      <c r="I1527" s="923"/>
      <c r="J1527" s="198" t="str">
        <f t="shared" si="118"/>
        <v>Belum Terisi</v>
      </c>
      <c r="K1527" s="31"/>
      <c r="L1527" s="31"/>
      <c r="M1527" s="21"/>
      <c r="N1527" s="21"/>
      <c r="O1527" s="21"/>
      <c r="P1527" s="21"/>
      <c r="Q1527" s="21"/>
      <c r="R1527" s="21"/>
      <c r="S1527" s="21"/>
      <c r="T1527" s="21"/>
      <c r="U1527" s="891" t="s">
        <v>2639</v>
      </c>
      <c r="V1527" s="21"/>
    </row>
    <row r="1528" spans="1:22" s="2" customFormat="1" ht="30" customHeight="1" x14ac:dyDescent="0.25">
      <c r="A1528" s="870">
        <f t="shared" si="117"/>
        <v>439</v>
      </c>
      <c r="B1528" s="874"/>
      <c r="C1528" s="872" t="s">
        <v>2680</v>
      </c>
      <c r="D1528" s="524">
        <f t="shared" si="115"/>
        <v>1873</v>
      </c>
      <c r="E1528" s="523" t="s">
        <v>171</v>
      </c>
      <c r="F1528" s="766" t="s">
        <v>263</v>
      </c>
      <c r="G1528" s="924"/>
      <c r="H1528" s="922"/>
      <c r="I1528" s="923"/>
      <c r="J1528" s="198" t="str">
        <f t="shared" si="118"/>
        <v/>
      </c>
      <c r="K1528" s="31"/>
      <c r="L1528" s="31"/>
      <c r="M1528" s="21"/>
      <c r="N1528" s="21"/>
      <c r="O1528" s="21"/>
      <c r="P1528" s="21"/>
      <c r="Q1528" s="21"/>
      <c r="R1528" s="21"/>
      <c r="S1528" s="21"/>
      <c r="T1528" s="21"/>
      <c r="U1528" s="891" t="s">
        <v>2639</v>
      </c>
      <c r="V1528" s="21"/>
    </row>
    <row r="1529" spans="1:22" s="2" customFormat="1" ht="30" customHeight="1" x14ac:dyDescent="0.25">
      <c r="A1529" s="675">
        <f>A1528+1</f>
        <v>440</v>
      </c>
      <c r="B1529" s="888"/>
      <c r="C1529" s="887" t="s">
        <v>2688</v>
      </c>
      <c r="D1529" s="530"/>
      <c r="E1529" s="530"/>
      <c r="F1529" s="530"/>
      <c r="G1529" s="924"/>
      <c r="H1529" s="922"/>
      <c r="I1529" s="923"/>
      <c r="J1529" s="198"/>
      <c r="K1529" s="31"/>
      <c r="L1529" s="31"/>
      <c r="M1529" s="21"/>
      <c r="N1529" s="21"/>
      <c r="O1529" s="21"/>
      <c r="P1529" s="21"/>
      <c r="Q1529" s="21"/>
      <c r="R1529" s="21"/>
      <c r="S1529" s="21"/>
      <c r="T1529" s="21"/>
      <c r="U1529" s="891" t="s">
        <v>2639</v>
      </c>
      <c r="V1529" s="21"/>
    </row>
    <row r="1530" spans="1:22" s="2" customFormat="1" ht="30" customHeight="1" x14ac:dyDescent="0.25">
      <c r="A1530" s="871"/>
      <c r="B1530" s="869" t="s">
        <v>41</v>
      </c>
      <c r="C1530" s="872" t="s">
        <v>2682</v>
      </c>
      <c r="D1530" s="512">
        <f>D1528+1</f>
        <v>1874</v>
      </c>
      <c r="E1530" s="523" t="s">
        <v>171</v>
      </c>
      <c r="F1530" s="790" t="s">
        <v>263</v>
      </c>
      <c r="G1530" s="924"/>
      <c r="H1530" s="922"/>
      <c r="I1530" s="923"/>
      <c r="J1530" s="198" t="str">
        <f t="shared" ref="J1530:J1535" si="119">IF(F1530="","Belum Terisi",IF(AND($F$1528="Ada",COUNTIF($F$1530:$F$1534,"Tidak Ada")=5,$F$1535="-"),"CEK",IF(AND($F$1528="Tidak Ada",F1530="Ada"),"CEK","")))</f>
        <v/>
      </c>
      <c r="K1530" s="31" t="str">
        <f t="shared" ref="K1530:K1535" si="120">IF(J1530="CEK",$F$1528&amp;" Kepulangan PMI Bermasalah","")</f>
        <v/>
      </c>
      <c r="L1530" s="31"/>
      <c r="M1530" s="21"/>
      <c r="N1530" s="21"/>
      <c r="O1530" s="21"/>
      <c r="P1530" s="21"/>
      <c r="Q1530" s="21"/>
      <c r="R1530" s="21"/>
      <c r="S1530" s="21"/>
      <c r="T1530" s="21"/>
      <c r="U1530" s="891" t="s">
        <v>2639</v>
      </c>
      <c r="V1530" s="21"/>
    </row>
    <row r="1531" spans="1:22" s="2" customFormat="1" ht="30" customHeight="1" x14ac:dyDescent="0.25">
      <c r="A1531" s="871"/>
      <c r="B1531" s="869" t="s">
        <v>139</v>
      </c>
      <c r="C1531" s="872" t="s">
        <v>2685</v>
      </c>
      <c r="D1531" s="512">
        <f t="shared" si="115"/>
        <v>1875</v>
      </c>
      <c r="E1531" s="523" t="s">
        <v>171</v>
      </c>
      <c r="F1531" s="791" t="s">
        <v>263</v>
      </c>
      <c r="G1531" s="924"/>
      <c r="H1531" s="922"/>
      <c r="I1531" s="923"/>
      <c r="J1531" s="198" t="str">
        <f t="shared" si="119"/>
        <v/>
      </c>
      <c r="K1531" s="31" t="str">
        <f t="shared" si="120"/>
        <v/>
      </c>
      <c r="L1531" s="31"/>
      <c r="M1531" s="21"/>
      <c r="N1531" s="21"/>
      <c r="O1531" s="21"/>
      <c r="P1531" s="21"/>
      <c r="Q1531" s="21"/>
      <c r="R1531" s="21"/>
      <c r="S1531" s="21"/>
      <c r="T1531" s="21"/>
      <c r="U1531" s="891" t="s">
        <v>2639</v>
      </c>
      <c r="V1531" s="21"/>
    </row>
    <row r="1532" spans="1:22" s="2" customFormat="1" ht="30" customHeight="1" x14ac:dyDescent="0.25">
      <c r="A1532" s="871"/>
      <c r="B1532" s="869" t="s">
        <v>251</v>
      </c>
      <c r="C1532" s="872" t="s">
        <v>2681</v>
      </c>
      <c r="D1532" s="512">
        <f t="shared" si="115"/>
        <v>1876</v>
      </c>
      <c r="E1532" s="523" t="s">
        <v>171</v>
      </c>
      <c r="F1532" s="791" t="s">
        <v>263</v>
      </c>
      <c r="G1532" s="924"/>
      <c r="H1532" s="922"/>
      <c r="I1532" s="923"/>
      <c r="J1532" s="198" t="str">
        <f t="shared" si="119"/>
        <v/>
      </c>
      <c r="K1532" s="31" t="str">
        <f t="shared" si="120"/>
        <v/>
      </c>
      <c r="L1532" s="31"/>
      <c r="M1532" s="21"/>
      <c r="N1532" s="21"/>
      <c r="O1532" s="21"/>
      <c r="P1532" s="21"/>
      <c r="Q1532" s="21"/>
      <c r="R1532" s="21"/>
      <c r="S1532" s="21"/>
      <c r="T1532" s="21"/>
      <c r="U1532" s="891" t="s">
        <v>2639</v>
      </c>
      <c r="V1532" s="21"/>
    </row>
    <row r="1533" spans="1:22" s="2" customFormat="1" ht="30" customHeight="1" x14ac:dyDescent="0.25">
      <c r="A1533" s="871"/>
      <c r="B1533" s="869" t="s">
        <v>255</v>
      </c>
      <c r="C1533" s="872" t="s">
        <v>2683</v>
      </c>
      <c r="D1533" s="512">
        <f t="shared" si="115"/>
        <v>1877</v>
      </c>
      <c r="E1533" s="523" t="s">
        <v>171</v>
      </c>
      <c r="F1533" s="791" t="s">
        <v>263</v>
      </c>
      <c r="G1533" s="924"/>
      <c r="H1533" s="922"/>
      <c r="I1533" s="923"/>
      <c r="J1533" s="198" t="str">
        <f t="shared" si="119"/>
        <v/>
      </c>
      <c r="K1533" s="31" t="str">
        <f t="shared" si="120"/>
        <v/>
      </c>
      <c r="L1533" s="31"/>
      <c r="M1533" s="21"/>
      <c r="N1533" s="21"/>
      <c r="O1533" s="21"/>
      <c r="P1533" s="21"/>
      <c r="Q1533" s="21"/>
      <c r="R1533" s="21"/>
      <c r="S1533" s="21"/>
      <c r="T1533" s="21"/>
      <c r="U1533" s="891" t="s">
        <v>2639</v>
      </c>
      <c r="V1533" s="21"/>
    </row>
    <row r="1534" spans="1:22" s="2" customFormat="1" ht="30" customHeight="1" x14ac:dyDescent="0.25">
      <c r="A1534" s="871"/>
      <c r="B1534" s="869" t="s">
        <v>252</v>
      </c>
      <c r="C1534" s="872" t="s">
        <v>2684</v>
      </c>
      <c r="D1534" s="512">
        <f t="shared" si="115"/>
        <v>1878</v>
      </c>
      <c r="E1534" s="523" t="s">
        <v>171</v>
      </c>
      <c r="F1534" s="791" t="s">
        <v>263</v>
      </c>
      <c r="G1534" s="924"/>
      <c r="H1534" s="922"/>
      <c r="I1534" s="923"/>
      <c r="J1534" s="198" t="str">
        <f t="shared" si="119"/>
        <v/>
      </c>
      <c r="K1534" s="31" t="str">
        <f t="shared" si="120"/>
        <v/>
      </c>
      <c r="L1534" s="31"/>
      <c r="M1534" s="21"/>
      <c r="N1534" s="21"/>
      <c r="O1534" s="21"/>
      <c r="P1534" s="21"/>
      <c r="Q1534" s="21"/>
      <c r="R1534" s="21"/>
      <c r="S1534" s="21"/>
      <c r="T1534" s="21"/>
      <c r="U1534" s="891" t="s">
        <v>2639</v>
      </c>
      <c r="V1534" s="21"/>
    </row>
    <row r="1535" spans="1:22" s="2" customFormat="1" ht="30" customHeight="1" x14ac:dyDescent="0.25">
      <c r="A1535" s="878"/>
      <c r="B1535" s="869" t="s">
        <v>253</v>
      </c>
      <c r="C1535" s="872" t="s">
        <v>1299</v>
      </c>
      <c r="D1535" s="512">
        <f t="shared" si="115"/>
        <v>1879</v>
      </c>
      <c r="E1535" s="523" t="s">
        <v>174</v>
      </c>
      <c r="F1535" s="774" t="s">
        <v>240</v>
      </c>
      <c r="G1535" s="924"/>
      <c r="H1535" s="922"/>
      <c r="I1535" s="923"/>
      <c r="J1535" s="198" t="str">
        <f t="shared" si="119"/>
        <v/>
      </c>
      <c r="K1535" s="31" t="str">
        <f t="shared" si="120"/>
        <v/>
      </c>
      <c r="L1535" s="31"/>
      <c r="M1535" s="21"/>
      <c r="N1535" s="21"/>
      <c r="O1535" s="21"/>
      <c r="P1535" s="21"/>
      <c r="Q1535" s="21"/>
      <c r="R1535" s="21"/>
      <c r="S1535" s="21"/>
      <c r="T1535" s="21"/>
      <c r="U1535" s="891" t="s">
        <v>2639</v>
      </c>
      <c r="V1535" s="21"/>
    </row>
  </sheetData>
  <sheetProtection algorithmName="SHA-512" hashValue="qxWIZ4zmOL4qj4kW6YQlsxVHq/DFhxXnEuI6vasPaFwlArTKwNJtAupzLFENNlUNFQrKWpYpz1z4UKONdiz2xQ==" saltValue="4/gZnAPFcueLqltpzRWZkQ==" spinCount="100000" sheet="1" objects="1" scenarios="1"/>
  <autoFilter ref="A4:V4" xr:uid="{00000000-0009-0000-0000-000002000000}"/>
  <dataConsolidate/>
  <mergeCells count="4">
    <mergeCell ref="A1:F1"/>
    <mergeCell ref="M1:V1"/>
    <mergeCell ref="A2:F2"/>
    <mergeCell ref="A3:D3"/>
  </mergeCells>
  <conditionalFormatting sqref="A2 J4">
    <cfRule type="dataBar" priority="91">
      <dataBar>
        <cfvo type="min"/>
        <cfvo type="max"/>
        <color theme="8" tint="0.59999389629810485"/>
      </dataBar>
      <extLst>
        <ext xmlns:x14="http://schemas.microsoft.com/office/spreadsheetml/2009/9/main" uri="{B025F937-C7B1-47D3-B67F-A62EFF666E3E}">
          <x14:id>{3BEA7CAC-A982-4D90-8C76-9778D776957F}</x14:id>
        </ext>
      </extLst>
    </cfRule>
  </conditionalFormatting>
  <conditionalFormatting sqref="J1">
    <cfRule type="expression" dxfId="12" priority="87">
      <formula>$J$1=0</formula>
    </cfRule>
    <cfRule type="expression" dxfId="11" priority="88">
      <formula>$J$1&gt;0</formula>
    </cfRule>
  </conditionalFormatting>
  <conditionalFormatting sqref="J2">
    <cfRule type="expression" dxfId="10" priority="89">
      <formula>$J$2="UNGGAH FILE"</formula>
    </cfRule>
    <cfRule type="expression" dxfId="9" priority="90">
      <formula>$J$2="BELUM SELESAI"</formula>
    </cfRule>
  </conditionalFormatting>
  <conditionalFormatting sqref="J3">
    <cfRule type="expression" dxfId="8" priority="86">
      <formula>$J$3="SELESAI"</formula>
    </cfRule>
  </conditionalFormatting>
  <conditionalFormatting sqref="J4">
    <cfRule type="dataBar" priority="27">
      <dataBar>
        <cfvo type="min"/>
        <cfvo type="max"/>
        <color theme="8" tint="0.59999389629810485"/>
      </dataBar>
      <extLst>
        <ext xmlns:x14="http://schemas.microsoft.com/office/spreadsheetml/2009/9/main" uri="{B025F937-C7B1-47D3-B67F-A62EFF666E3E}">
          <x14:id>{C7E137F1-07AA-4651-BAE0-0819FC444B15}</x14:id>
        </ext>
      </extLst>
    </cfRule>
  </conditionalFormatting>
  <conditionalFormatting sqref="J6:J125">
    <cfRule type="expression" dxfId="7" priority="32">
      <formula>OR(J6="Belum Terisi",J6="CEK")</formula>
    </cfRule>
  </conditionalFormatting>
  <conditionalFormatting sqref="J128:J179 J346:J469">
    <cfRule type="expression" dxfId="6" priority="42">
      <formula>OR(J128="Belum Terisi",J128="CEK")</formula>
    </cfRule>
  </conditionalFormatting>
  <conditionalFormatting sqref="J182:J344">
    <cfRule type="expression" dxfId="5" priority="31">
      <formula>OR(J182="Belum Terisi",J182="CEK")</formula>
    </cfRule>
  </conditionalFormatting>
  <conditionalFormatting sqref="J471:J633">
    <cfRule type="expression" dxfId="4" priority="26">
      <formula>OR(J471="Belum Terisi",J471="CEK")</formula>
    </cfRule>
  </conditionalFormatting>
  <conditionalFormatting sqref="J621:J622">
    <cfRule type="expression" dxfId="3" priority="29">
      <formula>J621="Belum Terisi"</formula>
    </cfRule>
  </conditionalFormatting>
  <conditionalFormatting sqref="J633:J638">
    <cfRule type="expression" dxfId="2" priority="38">
      <formula>J633="Belum Terisi"</formula>
    </cfRule>
  </conditionalFormatting>
  <conditionalFormatting sqref="J638:J821">
    <cfRule type="expression" dxfId="1" priority="4">
      <formula>OR(J638="Belum Terisi",J638="CEK")</formula>
    </cfRule>
  </conditionalFormatting>
  <conditionalFormatting sqref="J823:J1535">
    <cfRule type="expression" dxfId="0" priority="1">
      <formula>OR(J823="Belum Terisi",J823="CEK")</formula>
    </cfRule>
  </conditionalFormatting>
  <dataValidations xWindow="1131" yWindow="582" count="940">
    <dataValidation type="whole" showInputMessage="1" showErrorMessage="1" promptTitle="PAD Tahun 2024" prompt=" " sqref="F1377" xr:uid="{00000000-0002-0000-0200-000000000000}">
      <formula1>0</formula1>
      <formula2>50000000000</formula2>
    </dataValidation>
    <dataValidation allowBlank="1" showInputMessage="1" showErrorMessage="1" promptTitle="Jumlah PMI Laki-laki di Desa" prompt="Diisi dengan Menggunakan Template" sqref="F1511" xr:uid="{00000000-0002-0000-0200-000001000000}"/>
    <dataValidation type="list" showInputMessage="1" showErrorMessage="1" promptTitle="Kepualngan PMI Bermasalah didesa" prompt="Ada_x000a_Tidak Ada" sqref="F1528" xr:uid="{00000000-0002-0000-0200-000002000000}">
      <formula1>"Ada, Tidak Ada"</formula1>
    </dataValidation>
    <dataValidation showInputMessage="1" showErrorMessage="1" error="Terisi secara by sistem" promptTitle="Catatan Data Diri PMI" prompt="(By System 437)_x000a_Ada_x000a_Tidak Ada" sqref="F1526" xr:uid="{00000000-0002-0000-0200-000003000000}"/>
    <dataValidation type="list" showInputMessage="1" showErrorMessage="1" promptTitle="Data Terkait Kepulangan PMI" prompt="Ada_x000a_Tidak Ada" sqref="F1525" xr:uid="{00000000-0002-0000-0200-000004000000}">
      <formula1>"Ada, Tidak Ada"</formula1>
    </dataValidation>
    <dataValidation type="list" showInputMessage="1" showErrorMessage="1" promptTitle="Data Terkait Penempatan PMI LN" prompt="Ada_x000a_Tidak Ada" sqref="F1524" xr:uid="{00000000-0002-0000-0200-000005000000}">
      <formula1>"Ada, Tidak Ada"</formula1>
    </dataValidation>
    <dataValidation allowBlank="1" showInputMessage="1" showErrorMessage="1" error="diisi menggunakan unggah file TEMPLATE" promptTitle="Jumlah Kepulangan PMI di Desa" prompt="Diisi Menggunakan Template" sqref="F1527" xr:uid="{00000000-0002-0000-0200-000006000000}"/>
    <dataValidation type="textLength" allowBlank="1" showInputMessage="1" showErrorMessage="1" promptTitle="Produk Bank dipakai PMI" prompt="Sebutkan_x000a_Jika tidak ada diisi &quot; - &quot;" sqref="F1523" xr:uid="{00000000-0002-0000-0200-000007000000}">
      <formula1>1</formula1>
      <formula2>250</formula2>
    </dataValidation>
    <dataValidation type="textLength" allowBlank="1" showInputMessage="1" showErrorMessage="1" promptTitle="Manfaat Hasil Kerja PMI di Desa" prompt="Jika tidak ada diisi &quot; - &quot;" sqref="F1521" xr:uid="{00000000-0002-0000-0200-000008000000}">
      <formula1>1</formula1>
      <formula2>250</formula2>
    </dataValidation>
    <dataValidation type="list" showInputMessage="1" showErrorMessage="1" promptTitle="Tingkat Kesejateraan Purna PMI" prompt="Ada_x000a_Tidak Ada" sqref="F1520" xr:uid="{00000000-0002-0000-0200-000009000000}">
      <formula1>"Ada, Tidak Ada"</formula1>
    </dataValidation>
    <dataValidation type="list" showInputMessage="1" showErrorMessage="1" promptTitle="P'bandingn Kesejahteraan Kel PMI" prompt="Ada_x000a_Tidak Ada" sqref="F1519" xr:uid="{00000000-0002-0000-0200-00000A000000}">
      <formula1>"Ada, Tidak Ada"</formula1>
    </dataValidation>
    <dataValidation type="list" showInputMessage="1" showErrorMessage="1" promptTitle="Pemdes Memantau Keluarga PMI" prompt="Ada_x000a_Tidak Ada" sqref="F1518" xr:uid="{00000000-0002-0000-0200-00000B000000}">
      <formula1>"Ada, Tidak Ada"</formula1>
    </dataValidation>
    <dataValidation type="list" showInputMessage="1" showErrorMessage="1" promptTitle="Program Pemberdayaan di Desa" prompt="Ada_x000a_Belum Ada" sqref="F1514" xr:uid="{00000000-0002-0000-0200-00000C000000}">
      <formula1>"Ada, Belum Ada"</formula1>
    </dataValidation>
    <dataValidation allowBlank="1" showInputMessage="1" showErrorMessage="1" promptTitle="Jumlah PMI Perempuan di Desa" prompt="Diisi dengan Menggunakan Template" sqref="F1512" xr:uid="{00000000-0002-0000-0200-00000D000000}"/>
    <dataValidation type="textLength" showInputMessage="1" showErrorMessage="1" promptTitle="Kebutuhan Upgrading Skill PMI" prompt="Jika tidak terdapat kendala diisi &quot; - &quot;" sqref="F1513" xr:uid="{00000000-0002-0000-0200-00000E000000}">
      <formula1>1</formula1>
      <formula2>250</formula2>
    </dataValidation>
    <dataValidation type="list" showInputMessage="1" showErrorMessage="1" promptTitle="Terdapat Perdes Perlindungan PMI" prompt="Ada_x000a_Tidak Ada" sqref="F1510" xr:uid="{00000000-0002-0000-0200-00000F000000}">
      <formula1>"Ada, Tidak Ada"</formula1>
    </dataValidation>
    <dataValidation type="list" showInputMessage="1" showErrorMessage="1" promptTitle="Program Dukungan PMI B'Wirausaha" prompt="Ada_x000a_Tidak Ada" sqref="F1506" xr:uid="{00000000-0002-0000-0200-000010000000}">
      <formula1>"Ada, Tidak Ada"</formula1>
    </dataValidation>
    <dataValidation type="list" showInputMessage="1" showErrorMessage="1" promptTitle="Komunitas Pengembangan Usaha PMI" prompt="Ada_x000a_Tidak Ada" sqref="F1507" xr:uid="{00000000-0002-0000-0200-000011000000}">
      <formula1>"Ada, Tidak Ada"</formula1>
    </dataValidation>
    <dataValidation type="textLength" showInputMessage="1" showErrorMessage="1" promptTitle="kendala Wirausahawan PMI &amp; Kel." prompt="Jika tidak terdapat kendala diisi &quot; - &quot;" sqref="F1508" xr:uid="{00000000-0002-0000-0200-000012000000}">
      <formula1>1</formula1>
      <formula2>250</formula2>
    </dataValidation>
    <dataValidation type="whole" showInputMessage="1" showErrorMessage="1" promptTitle="Pemilik Usaha PMI Pertanian" prompt="Diisi angka" sqref="F1503" xr:uid="{00000000-0002-0000-0200-000013000000}">
      <formula1>0</formula1>
      <formula2>50</formula2>
    </dataValidation>
    <dataValidation type="whole" showInputMessage="1" showErrorMessage="1" promptTitle="Pemilik Usaha PMI Pariwisata" prompt="Diisi angka" sqref="F1501" xr:uid="{00000000-0002-0000-0200-000014000000}">
      <formula1>0</formula1>
      <formula2>50</formula2>
    </dataValidation>
    <dataValidation type="whole" showInputMessage="1" showErrorMessage="1" promptTitle="PmilikUsaha PMI Fashion/Penjahit" prompt="Diisi angka" sqref="F1499" xr:uid="{00000000-0002-0000-0200-000015000000}">
      <formula1>0</formula1>
      <formula2>50</formula2>
    </dataValidation>
    <dataValidation type="whole" showInputMessage="1" showErrorMessage="1" promptTitle="Pemilik Usaha PMI Kerajinan" prompt="Diisi angka" sqref="F1498" xr:uid="{00000000-0002-0000-0200-000016000000}">
      <formula1>0</formula1>
      <formula2>50</formula2>
    </dataValidation>
    <dataValidation type="whole" showInputMessage="1" showErrorMessage="1" promptTitle="Pemilik Usaha PMI Jasa" prompt="Diisi angka" sqref="F1497" xr:uid="{00000000-0002-0000-0200-000017000000}">
      <formula1>0</formula1>
      <formula2>50</formula2>
    </dataValidation>
    <dataValidation type="whole" showInputMessage="1" showErrorMessage="1" promptTitle="Pemilik Usaha PMI Lainnya" prompt="Diisi angka" sqref="F1505" xr:uid="{00000000-0002-0000-0200-000018000000}">
      <formula1>0</formula1>
      <formula2>50</formula2>
    </dataValidation>
    <dataValidation operator="greaterThanOrEqual" allowBlank="1" showInputMessage="1" showErrorMessage="1" promptTitle="Jlh RT Belum Teraliri Listrik" prompt="Jlh Rumah Tangga Belum Alir Listrik (RT)_x000a_(Terisi dari Unggah Template Rumah Tanggal Belum Teraliri Listrik)" sqref="F621" xr:uid="{00000000-0002-0000-0200-000019000000}"/>
    <dataValidation type="whole" showInputMessage="1" showErrorMessage="1" promptTitle="Jumlah Bunuh Diri di Desa" prompt="Input dengan Angka" sqref="F778" xr:uid="{00000000-0002-0000-0200-00001A000000}">
      <formula1>0</formula1>
      <formula2>50</formula2>
    </dataValidation>
    <dataValidation type="list" showInputMessage="1" showErrorMessage="1" promptTitle="Unggulan 1 Daging Pasar Ekspor" prompt="Ada_x000a_Tidak Ada" sqref="F1146" xr:uid="{00000000-0002-0000-0200-00001B000000}">
      <formula1>"Ada, Tidak Ada"</formula1>
    </dataValidation>
    <dataValidation type="list" showInputMessage="1" showErrorMessage="1" promptTitle="Unggulan 1 Susu Pasar Ekspor" prompt="Ada_x000a_Tidak Ada" sqref="F1137" xr:uid="{00000000-0002-0000-0200-00001C000000}">
      <formula1>"Ada, Tidak Ada"</formula1>
    </dataValidation>
    <dataValidation type="list" showInputMessage="1" showErrorMessage="1" promptTitle="Unggulan 1 Telur Pasar Ekspor" prompt="Ada_x000a_Tidak Ada" sqref="F1128" xr:uid="{00000000-0002-0000-0200-00001D000000}">
      <formula1>"Ada, Tidak Ada"</formula1>
    </dataValidation>
    <dataValidation type="list" showInputMessage="1" showErrorMessage="1" promptTitle="Unggulan 1 Produk lokal Ekspor" prompt="Ada_x000a_Tidak Ada" sqref="F1155" xr:uid="{00000000-0002-0000-0200-00001E000000}">
      <formula1>"Ada, Tidak Ada"</formula1>
    </dataValidation>
    <dataValidation type="list" showInputMessage="1" showErrorMessage="1" promptTitle="Unggulan 1 Ikan Darat Psr Ekspor" prompt="Ada_x000a_Tidak Ada" sqref="F1119" xr:uid="{00000000-0002-0000-0200-00001F000000}">
      <formula1>"Ada, Tidak Ada"</formula1>
    </dataValidation>
    <dataValidation type="list" showInputMessage="1" showErrorMessage="1" promptTitle="Unggulan 1 Ikan Laut Psr Ekspor" prompt="Ada_x000a_Tidak Ada" sqref="F1110" xr:uid="{00000000-0002-0000-0200-000020000000}">
      <formula1>"Ada, Tidak Ada"</formula1>
    </dataValidation>
    <dataValidation type="textLength" showInputMessage="1" showErrorMessage="1" promptTitle="Perikanan Air Laut/Payau Lainnya" prompt="Sebutkan_x000a_Jika Tidak Ada Diisi &quot; - &quot;" sqref="F157" xr:uid="{00000000-0002-0000-0200-000021000000}">
      <formula1>1</formula1>
      <formula2>30</formula2>
    </dataValidation>
    <dataValidation type="textLength" showInputMessage="1" showErrorMessage="1" promptTitle="Tdapat Perikanan Air Laut Lainya" prompt="Sebutkan_x000a_Jika Tidak Ada Diisi &quot; - &quot;" sqref="F146" xr:uid="{00000000-0002-0000-0200-000022000000}">
      <formula1>1</formula1>
      <formula2>30</formula2>
    </dataValidation>
    <dataValidation type="textLength" showInputMessage="1" showErrorMessage="1" promptTitle="Terdapat Peternakan Lainnya" prompt="Sebutkan_x000a_Jika Tidak Ada Diisi &quot; - &quot;" sqref="F168" xr:uid="{00000000-0002-0000-0200-000023000000}">
      <formula1>0</formula1>
      <formula2>30</formula2>
    </dataValidation>
    <dataValidation type="list" showInputMessage="1" showErrorMessage="1" promptTitle="Tersedia Pelelangan Ikan" prompt="Ada_x000a_Tidak Ada" sqref="F466" xr:uid="{00000000-0002-0000-0200-000024000000}">
      <formula1>"Ada, Tidak Ada"</formula1>
    </dataValidation>
    <dataValidation type="list" showInputMessage="1" showErrorMessage="1" promptTitle="T'sedia Cool Storage (Gudang ES)" prompt="Ada_x000a_Tidak Ada" sqref="F465" xr:uid="{00000000-0002-0000-0200-000025000000}">
      <formula1>"Ada, Tidak Ada"</formula1>
    </dataValidation>
    <dataValidation type="list" showInputMessage="1" showErrorMessage="1" promptTitle="Terdapat Pabrik Es di Desa" prompt="Ada_x000a_Tidak Ada" sqref="F464" xr:uid="{00000000-0002-0000-0200-000026000000}">
      <formula1>"Ada, Tidak Ada"</formula1>
    </dataValidation>
    <dataValidation type="list" allowBlank="1" showInputMessage="1" showErrorMessage="1" promptTitle="Terdapat Perikanan Kerang Laut" prompt="Ada_x000a_Tidak Ada" sqref="F145" xr:uid="{00000000-0002-0000-0200-000027000000}">
      <formula1>"Ada, Tidak Ada"</formula1>
    </dataValidation>
    <dataValidation type="list" allowBlank="1" showInputMessage="1" showErrorMessage="1" promptTitle="Terdapat Perikanan Tiram" prompt="Ada_x000a_Tidak Ada" sqref="F144" xr:uid="{00000000-0002-0000-0200-000028000000}">
      <formula1>"Ada, Tidak Ada"</formula1>
    </dataValidation>
    <dataValidation type="list" allowBlank="1" showInputMessage="1" showErrorMessage="1" promptTitle="Terdapat Perikanan Napoleon" prompt="Ada_x000a_Tidak Ada" sqref="F143" xr:uid="{00000000-0002-0000-0200-000029000000}">
      <formula1>"Ada, Tidak Ada"</formula1>
    </dataValidation>
    <dataValidation type="list" allowBlank="1" showInputMessage="1" showErrorMessage="1" promptTitle="Terdapat Perikanan Kakap" prompt="Ada_x000a_Tidak Ada" sqref="F142" xr:uid="{00000000-0002-0000-0200-00002A000000}">
      <formula1>"Ada, Tidak Ada"</formula1>
    </dataValidation>
    <dataValidation type="list" allowBlank="1" showInputMessage="1" showErrorMessage="1" promptTitle="Terdapat Perikanan Kerapu" prompt="Ada_x000a_Tidak Ada" sqref="F141" xr:uid="{00000000-0002-0000-0200-00002B000000}">
      <formula1>"Ada, Tidak Ada"</formula1>
    </dataValidation>
    <dataValidation type="list" allowBlank="1" showInputMessage="1" showErrorMessage="1" promptTitle="Terdapat Perikanan Abalon" prompt="Ada_x000a_Tidak Ada" sqref="F140" xr:uid="{00000000-0002-0000-0200-00002C000000}">
      <formula1>"Ada, Tidak Ada"</formula1>
    </dataValidation>
    <dataValidation type="list" allowBlank="1" showInputMessage="1" showErrorMessage="1" promptTitle="Terdapat Perikanan Teripang" prompt="Ada_x000a_Tidak Ada" sqref="F136" xr:uid="{00000000-0002-0000-0200-00002D000000}">
      <formula1>"Ada, Tidak Ada"</formula1>
    </dataValidation>
    <dataValidation type="list" allowBlank="1" showInputMessage="1" showErrorMessage="1" promptTitle="Terdapat Perikanan Lobster Laut" prompt="Ada_x000a_Tidak Ada" sqref="F133" xr:uid="{00000000-0002-0000-0200-00002E000000}">
      <formula1>"Ada, Tidak Ada"</formula1>
    </dataValidation>
    <dataValidation type="list" showInputMessage="1" showErrorMessage="1" promptTitle="Terdapat Budidaya Ikan Hias" prompt="Ada_x000a_Tidak Ada" sqref="F158" xr:uid="{00000000-0002-0000-0200-00002F000000}">
      <formula1>"Ada, Tidak Ada"</formula1>
    </dataValidation>
    <dataValidation type="list" showInputMessage="1" showErrorMessage="1" promptTitle="Terdapat Budidaya Ikan Bandeng" prompt="Ada_x000a_Tidak Ada" sqref="F156" xr:uid="{00000000-0002-0000-0200-000030000000}">
      <formula1>"Ada, Tidak Ada"</formula1>
    </dataValidation>
    <dataValidation type="list" showInputMessage="1" showErrorMessage="1" promptTitle="Terdapat Budidaya Ikan Mas" prompt="Ada_x000a_Tidak Ada" sqref="F155" xr:uid="{00000000-0002-0000-0200-000031000000}">
      <formula1>"Ada, Tidak Ada"</formula1>
    </dataValidation>
    <dataValidation type="list" showInputMessage="1" showErrorMessage="1" promptTitle="Program Pembangunan dari APBN" prompt="Ada_x000a_Tidak Ada" sqref="F1450" xr:uid="{00000000-0002-0000-0200-000032000000}">
      <formula1>"Ada, Tidak Ada"</formula1>
    </dataValidation>
    <dataValidation type="list" showInputMessage="1" showErrorMessage="1" promptTitle="Program Pembangunan dr APBD Prov" prompt="Ada_x000a_Tidak Ada" sqref="F1434" xr:uid="{00000000-0002-0000-0200-000033000000}">
      <formula1>"Ada, Tidak Ada"</formula1>
    </dataValidation>
    <dataValidation type="list" showInputMessage="1" showErrorMessage="1" promptTitle="Program APBD Kabupaten/ Kota" prompt="Ada_x000a_Tidak Ada" sqref="F1418" xr:uid="{00000000-0002-0000-0200-000034000000}">
      <formula1>"Ada, Tidak Ada"</formula1>
    </dataValidation>
    <dataValidation type="list" showInputMessage="1" showErrorMessage="1" promptTitle="Terdapat PC/Desktop Milik Desa" prompt="Ada_x000a_Tidak Ada" sqref="F1400" xr:uid="{00000000-0002-0000-0200-000035000000}">
      <formula1>"Ada, Tidak Ada"</formula1>
    </dataValidation>
    <dataValidation type="list" showInputMessage="1" showErrorMessage="1" promptTitle="Terdapat Tablet Milik Desa" prompt="Ada_x000a_Tidak Ada" sqref="F1399" xr:uid="{00000000-0002-0000-0200-000036000000}">
      <formula1>"Ada, Tidak Ada"</formula1>
    </dataValidation>
    <dataValidation type="list" showInputMessage="1" showErrorMessage="1" promptTitle="Terdapat Ponsel/ HP Milik Desa" prompt="Ada_x000a_Tidak Ada" sqref="F1398" xr:uid="{00000000-0002-0000-0200-000037000000}">
      <formula1>"Ada, Tidak Ada"</formula1>
    </dataValidation>
    <dataValidation type="list" showInputMessage="1" showErrorMessage="1" promptTitle="Rencana Membangun Lebih Baik" prompt="Ada_x000a_Tidak Ada" sqref="F1359" xr:uid="{00000000-0002-0000-0200-000038000000}">
      <formula1>"Ada, Tidak Ada"</formula1>
    </dataValidation>
    <dataValidation type="list" showInputMessage="1" showErrorMessage="1" promptTitle="Kelola Bantuan Mandiri Transparn" prompt="Ada_x000a_Tidak Ada" sqref="F1354" xr:uid="{00000000-0002-0000-0200-000039000000}">
      <formula1>"Ada, Tidak Ada"</formula1>
    </dataValidation>
    <dataValidation type="list" showInputMessage="1" showErrorMessage="1" promptTitle="Mekanisme Pemulihan Dini Mandiri" prompt="Ada_x000a_Tidak Ada" sqref="F1349" xr:uid="{00000000-0002-0000-0200-00003A000000}">
      <formula1>"Ada, Tidak Ada"</formula1>
    </dataValidation>
    <dataValidation type="list" showInputMessage="1" showErrorMessage="1" promptTitle="Mekanisme Penilaian Rusak/ Rugi" prompt="Ada_x000a_Tidak Ada" sqref="F1344" xr:uid="{00000000-0002-0000-0200-00003B000000}">
      <formula1>"Ada, Tidak Ada"</formula1>
    </dataValidation>
    <dataValidation type="list" showInputMessage="1" showErrorMessage="1" promptTitle="Sosialisasi Pengetahuan Bencana" prompt="Ada_x000a_Tidak Ada" sqref="F1339" xr:uid="{00000000-0002-0000-0200-00003C000000}">
      <formula1>"Ada, Tidak Ada"</formula1>
    </dataValidation>
    <dataValidation type="list" showInputMessage="1" showErrorMessage="1" promptTitle="Kerjasama Penanggulangan Bencana" prompt="Ada_x000a_Tidak Ada" sqref="F1334" xr:uid="{00000000-0002-0000-0200-00003D000000}">
      <formula1>"Ada, Tidak Ada"</formula1>
    </dataValidation>
    <dataValidation type="list" showInputMessage="1" showErrorMessage="1" promptTitle="Latihan Penanggulangan Bencana" prompt="Ada_x000a_Tidak Ada" sqref="F1329" xr:uid="{00000000-0002-0000-0200-00003E000000}">
      <formula1>"Ada, Tidak Ada"</formula1>
    </dataValidation>
    <dataValidation type="list" showInputMessage="1" showErrorMessage="1" promptTitle="Rencana Penanggulangan Bencana" prompt="Ada_x000a_Tidak Ada" sqref="F1324" xr:uid="{00000000-0002-0000-0200-00003F000000}">
      <formula1>"Ada, Tidak Ada"</formula1>
    </dataValidation>
    <dataValidation type="list" showInputMessage="1" showErrorMessage="1" promptTitle="Terdapat Mitigasi Bencana" prompt="Ada_x000a_Tidak Ada" sqref="F1319" xr:uid="{00000000-0002-0000-0200-000040000000}">
      <formula1>"Ada, Tidak Ada"</formula1>
    </dataValidation>
    <dataValidation type="list" showInputMessage="1" showErrorMessage="1" promptTitle="Rencana Evakuasi" prompt="Ada_x000a_Tidak Ada" sqref="F1299" xr:uid="{00000000-0002-0000-0200-000041000000}">
      <formula1>"Ada, Tidak Ada"</formula1>
    </dataValidation>
    <dataValidation type="list" showInputMessage="1" showErrorMessage="1" promptTitle="Desa Terima Peringatan Bahaya" prompt="Ada_x000a_Tidak Ada" sqref="F1294" xr:uid="{00000000-0002-0000-0200-000042000000}">
      <formula1>"Ada, Tidak Ada"</formula1>
    </dataValidation>
    <dataValidation type="list" showInputMessage="1" showErrorMessage="1" promptTitle="Pengkajian Risiko Bencana" prompt="Ada_x000a_Tidak Ada" sqref="F1271" xr:uid="{00000000-0002-0000-0200-000043000000}">
      <formula1>"Ada, Tidak Ada"</formula1>
    </dataValidation>
    <dataValidation type="list" allowBlank="1" showInputMessage="1" showErrorMessage="1" promptTitle="Terdapat Produk Unggulan Sereh" prompt="Ada_x000a_Tidak Ada" sqref="F978" xr:uid="{00000000-0002-0000-0200-000044000000}">
      <formula1>"Ada, Tidak Ada"</formula1>
    </dataValidation>
    <dataValidation type="list" allowBlank="1" showInputMessage="1" showErrorMessage="1" promptTitle="Tdapat Produk Unggulan Kapulaga" prompt="Ada_x000a_Tidak Ada" sqref="F976" xr:uid="{00000000-0002-0000-0200-000045000000}">
      <formula1>"Ada, Tidak Ada"</formula1>
    </dataValidation>
    <dataValidation type="list" allowBlank="1" showInputMessage="1" showErrorMessage="1" promptTitle="Produk Unggulan Jintan Hitam" prompt="Ada_x000a_Tidak Ada" sqref="F974" xr:uid="{00000000-0002-0000-0200-000046000000}">
      <formula1>"Ada, Tidak Ada"</formula1>
    </dataValidation>
    <dataValidation type="list" allowBlank="1" showInputMessage="1" showErrorMessage="1" promptTitle="Produk Unggulan Kayu Manis" prompt="Ada_x000a_Tidak Ada" sqref="F972" xr:uid="{00000000-0002-0000-0200-000047000000}">
      <formula1>"Ada, Tidak Ada"</formula1>
    </dataValidation>
    <dataValidation type="list" allowBlank="1" showInputMessage="1" showErrorMessage="1" promptTitle="Tdapat Produk Unggulan Mengkudu" prompt="Ada_x000a_Tidak Ada" sqref="F970" xr:uid="{00000000-0002-0000-0200-000048000000}">
      <formula1>"Ada, Tidak Ada"</formula1>
    </dataValidation>
    <dataValidation type="list" allowBlank="1" showInputMessage="1" showErrorMessage="1" promptTitle="Terdapat Produk Unggulan Bangle" prompt="Ada_x000a_Tidak Ada" sqref="F968" xr:uid="{00000000-0002-0000-0200-000049000000}">
      <formula1>"Ada, Tidak Ada"</formula1>
    </dataValidation>
    <dataValidation type="list" allowBlank="1" showInputMessage="1" showErrorMessage="1" promptTitle="Produk Unggulan Gingko Giloba" prompt="Ada_x000a_Tidak Ada" sqref="F966" xr:uid="{00000000-0002-0000-0200-00004A000000}">
      <formula1>"Ada, Tidak Ada"</formula1>
    </dataValidation>
    <dataValidation type="list" allowBlank="1" showInputMessage="1" showErrorMessage="1" promptTitle="Tdapat Produk Unggulan Sambiloto" prompt="Ada_x000a_Tidak Ada" sqref="F964" xr:uid="{00000000-0002-0000-0200-00004B000000}">
      <formula1>"Ada, Tidak Ada"</formula1>
    </dataValidation>
    <dataValidation type="list" allowBlank="1" showInputMessage="1" showErrorMessage="1" promptTitle="Tdapat Produk Unggulan Ketumbar" prompt="Ada_x000a_Tidak Ada" sqref="F962" xr:uid="{00000000-0002-0000-0200-00004C000000}">
      <formula1>"Ada, Tidak Ada"</formula1>
    </dataValidation>
    <dataValidation type="list" allowBlank="1" showInputMessage="1" showErrorMessage="1" promptTitle="Terdapat Produk Unggulan Sirih" prompt="Ada_x000a_Tidak Ada" sqref="F960" xr:uid="{00000000-0002-0000-0200-00004D000000}">
      <formula1>"Ada, Tidak Ada"</formula1>
    </dataValidation>
    <dataValidation type="list" allowBlank="1" showInputMessage="1" showErrorMessage="1" promptTitle="Produk Unggulan Kumis Kucing" prompt="Ada_x000a_Tidak Ada" sqref="F956" xr:uid="{00000000-0002-0000-0200-00004E000000}">
      <formula1>"Ada, Tidak Ada"</formula1>
    </dataValidation>
    <dataValidation type="list" allowBlank="1" showInputMessage="1" showErrorMessage="1" promptTitle="Produk Unggulan Lidah Buaya" prompt="Ada_x000a_Tidak Ada" sqref="F954" xr:uid="{00000000-0002-0000-0200-00004F000000}">
      <formula1>"Ada, Tidak Ada"</formula1>
    </dataValidation>
    <dataValidation type="list" allowBlank="1" showInputMessage="1" showErrorMessage="1" promptTitle="Tdapat Produk Unggulan Temulawak" prompt="Ada_x000a_Tidak Ada" sqref="F952" xr:uid="{00000000-0002-0000-0200-000050000000}">
      <formula1>"Ada, Tidak Ada"</formula1>
    </dataValidation>
    <dataValidation type="list" allowBlank="1" showInputMessage="1" showErrorMessage="1" promptTitle="Terdapat Produk Unggulan Kencur" prompt="Ada_x000a_Tidak Ada" sqref="F950" xr:uid="{00000000-0002-0000-0200-000051000000}">
      <formula1>"Ada, Tidak Ada"</formula1>
    </dataValidation>
    <dataValidation type="list" allowBlank="1" showInputMessage="1" showErrorMessage="1" promptTitle="Produk Unggulan Lengkuas/ Laos" prompt="Ada_x000a_Tidak Ada" sqref="F948" xr:uid="{00000000-0002-0000-0200-000052000000}">
      <formula1>"Ada, Tidak Ada"</formula1>
    </dataValidation>
    <dataValidation type="list" allowBlank="1" showInputMessage="1" showErrorMessage="1" promptTitle="Produk Unggulan Kunyit Putih" prompt="Ada_x000a_Tidak Ada" sqref="F946" xr:uid="{00000000-0002-0000-0200-000053000000}">
      <formula1>"Ada, Tidak Ada"</formula1>
    </dataValidation>
    <dataValidation type="list" allowBlank="1" showInputMessage="1" showErrorMessage="1" promptTitle="Terdapat Produk Unggulan Kunyit" prompt="Ada_x000a_Tidak Ada" sqref="F944" xr:uid="{00000000-0002-0000-0200-000054000000}">
      <formula1>"Ada, Tidak Ada"</formula1>
    </dataValidation>
    <dataValidation type="list" allowBlank="1" showInputMessage="1" showErrorMessage="1" promptTitle="Produk Unggulan Jahe Merah" prompt="Ada_x000a_Tidak Ada" sqref="F942" xr:uid="{00000000-0002-0000-0200-000055000000}">
      <formula1>"Ada, Tidak Ada"</formula1>
    </dataValidation>
    <dataValidation type="list" allowBlank="1" showInputMessage="1" showErrorMessage="1" promptTitle="Terdapat Produk Unggulan Jahe" prompt="Ada_x000a_Tidak Ada" sqref="F940" xr:uid="{00000000-0002-0000-0200-000056000000}">
      <formula1>"Ada, Tidak Ada"</formula1>
    </dataValidation>
    <dataValidation type="list" allowBlank="1" showInputMessage="1" showErrorMessage="1" promptTitle="Terdapat Produk Unggulan Rebung" prompt="Ada_x000a_Tidak Ada" sqref="F934" xr:uid="{00000000-0002-0000-0200-000057000000}">
      <formula1>"Ada, Tidak Ada"</formula1>
    </dataValidation>
    <dataValidation type="list" allowBlank="1" showInputMessage="1" showErrorMessage="1" promptTitle="Produk Unggulan Sayur Terong" prompt="Ada_x000a_Tidak Ada" sqref="F932" xr:uid="{00000000-0002-0000-0200-000058000000}">
      <formula1>"Ada, Tidak Ada"</formula1>
    </dataValidation>
    <dataValidation type="list" allowBlank="1" showInputMessage="1" showErrorMessage="1" promptTitle="Produk Unggulan Kacang Panjang" prompt="Ada_x000a_Tidak Ada" sqref="F930" xr:uid="{00000000-0002-0000-0200-000059000000}">
      <formula1>"Ada, Tidak Ada"</formula1>
    </dataValidation>
    <dataValidation type="list" allowBlank="1" showInputMessage="1" showErrorMessage="1" promptTitle="Terdapat Produk Unggulan Pare" prompt="Ada_x000a_Tidak Ada" sqref="F928" xr:uid="{00000000-0002-0000-0200-00005A000000}">
      <formula1>"Ada, Tidak Ada"</formula1>
    </dataValidation>
    <dataValidation type="list" allowBlank="1" showInputMessage="1" showErrorMessage="1" promptTitle="Produk Unggulan Cabai Lokal" prompt="Ada_x000a_Tidak Ada" sqref="F925" xr:uid="{00000000-0002-0000-0200-00005B000000}">
      <formula1>"Ada, Tidak Ada"</formula1>
    </dataValidation>
    <dataValidation type="list" allowBlank="1" showInputMessage="1" showErrorMessage="1" promptTitle="Produk Unggulan Cabai Rawit" prompt="Ada_x000a_Tidak Ada" sqref="F923" xr:uid="{00000000-0002-0000-0200-00005C000000}">
      <formula1>"Ada, Tidak Ada"</formula1>
    </dataValidation>
    <dataValidation type="list" allowBlank="1" showInputMessage="1" showErrorMessage="1" promptTitle="Produk Unggulan Cabai Keriting" prompt="Ada_x000a_Tidak Ada" sqref="F921" xr:uid="{00000000-0002-0000-0200-00005D000000}">
      <formula1>"Ada, Tidak Ada"</formula1>
    </dataValidation>
    <dataValidation type="list" allowBlank="1" showInputMessage="1" showErrorMessage="1" promptTitle="Terdapat Produk Unggulan Sawi" prompt="Ada_x000a_Tidak Ada" sqref="F919" xr:uid="{00000000-0002-0000-0200-00005E000000}">
      <formula1>"Ada, Tidak Ada"</formula1>
    </dataValidation>
    <dataValidation type="list" allowBlank="1" showInputMessage="1" showErrorMessage="1" promptTitle="Terdapat Produk Unggulan Kemangi" prompt="Ada_x000a_Tidak Ada" sqref="F917 F958" xr:uid="{00000000-0002-0000-0200-00005F000000}">
      <formula1>"Ada, Tidak Ada"</formula1>
    </dataValidation>
    <dataValidation type="list" allowBlank="1" showInputMessage="1" showErrorMessage="1" promptTitle="Terdapat Produk Unggulan Seledri" prompt="Ada_x000a_Tidak Ada" sqref="F915" xr:uid="{00000000-0002-0000-0200-000060000000}">
      <formula1>"Ada, Tidak Ada"</formula1>
    </dataValidation>
    <dataValidation type="list" allowBlank="1" showInputMessage="1" showErrorMessage="1" promptTitle="Terdapat Produk Unggulan Toge" prompt="Ada_x000a_Tidak Ada" sqref="F913" xr:uid="{00000000-0002-0000-0200-000061000000}">
      <formula1>"Ada, Tidak Ada"</formula1>
    </dataValidation>
    <dataValidation type="list" allowBlank="1" showInputMessage="1" showErrorMessage="1" promptTitle="Terdapat Produk Unggulan Brokoli" prompt="Ada_x000a_Tidak Ada" sqref="F911" xr:uid="{00000000-0002-0000-0200-000062000000}">
      <formula1>"Ada, Tidak Ada"</formula1>
    </dataValidation>
    <dataValidation type="list" allowBlank="1" showInputMessage="1" showErrorMessage="1" promptTitle="Terdapat Produk Unggulan Buncis" prompt="Ada_x000a_Tidak Ada" sqref="F909" xr:uid="{00000000-0002-0000-0200-000063000000}">
      <formula1>"Ada, Tidak Ada"</formula1>
    </dataValidation>
    <dataValidation type="list" allowBlank="1" showInputMessage="1" showErrorMessage="1" promptTitle="Produk Unggulan Mentimun/Ketimun" prompt="Ada_x000a_Tidak Ada" sqref="F907" xr:uid="{00000000-0002-0000-0200-000064000000}">
      <formula1>"Ada, Tidak Ada"</formula1>
    </dataValidation>
    <dataValidation type="list" allowBlank="1" showInputMessage="1" showErrorMessage="1" promptTitle="Terdapat Produk Unggulan Selada" prompt="Ada_x000a_Tidak Ada" sqref="F905" xr:uid="{00000000-0002-0000-0200-000065000000}">
      <formula1>"Ada, Tidak Ada"</formula1>
    </dataValidation>
    <dataValidation type="list" allowBlank="1" showInputMessage="1" showErrorMessage="1" promptTitle="Terdapat Produk Unggulan Kol" prompt="Ada_x000a_Tidak Ada" sqref="F903" xr:uid="{00000000-0002-0000-0200-000066000000}">
      <formula1>"Ada, Tidak Ada"</formula1>
    </dataValidation>
    <dataValidation type="list" allowBlank="1" showInputMessage="1" showErrorMessage="1" promptTitle="Tdapat Produk Unggulan Kangkung" prompt="Ada_x000a_Tidak Ada" sqref="F901" xr:uid="{00000000-0002-0000-0200-000067000000}">
      <formula1>"Ada, Tidak Ada"</formula1>
    </dataValidation>
    <dataValidation type="list" allowBlank="1" showInputMessage="1" showErrorMessage="1" promptTitle="Terdapat Produk Unggulan Kelor" prompt="Ada_x000a_Tidak Ada" sqref="F899" xr:uid="{00000000-0002-0000-0200-000068000000}">
      <formula1>"Ada, Tidak Ada"</formula1>
    </dataValidation>
    <dataValidation type="list" allowBlank="1" showInputMessage="1" showErrorMessage="1" promptTitle="Terdapat Produk Unggulan Bayam" prompt="Ada_x000a_Tidak Ada" sqref="F897" xr:uid="{00000000-0002-0000-0200-000069000000}">
      <formula1>"Ada, Tidak Ada"</formula1>
    </dataValidation>
    <dataValidation type="list" allowBlank="1" showInputMessage="1" showErrorMessage="1" promptTitle="Produk Unggulan Kubis" prompt="Ada_x000a_Tidak Ada" sqref="F895" xr:uid="{00000000-0002-0000-0200-00006A000000}">
      <formula1>"Ada, Tidak Ada"</formula1>
    </dataValidation>
    <dataValidation type="list" allowBlank="1" showInputMessage="1" showErrorMessage="1" promptTitle="Produk Unggulan Bawang Putih" prompt="Ada_x000a_Tidak Ada" sqref="F893" xr:uid="{00000000-0002-0000-0200-00006B000000}">
      <formula1>"Ada, Tidak Ada"</formula1>
    </dataValidation>
    <dataValidation type="list" allowBlank="1" showInputMessage="1" showErrorMessage="1" promptTitle="Produk Unggulan Bawang Merah" prompt="Ada_x000a_Tidak Ada" sqref="F891" xr:uid="{00000000-0002-0000-0200-00006C000000}">
      <formula1>"Ada, Tidak Ada"</formula1>
    </dataValidation>
    <dataValidation type="list" allowBlank="1" showInputMessage="1" showErrorMessage="1" promptTitle="Produk Unggulan Buah Lainnya" prompt="Ada_x000a_Tidak Ada" sqref="F887" xr:uid="{00000000-0002-0000-0200-00006D000000}">
      <formula1>"Ada, Tidak Ada"</formula1>
    </dataValidation>
    <dataValidation type="list" allowBlank="1" showInputMessage="1" showErrorMessage="1" promptTitle="Terdapat Produk Unggulan Naga" prompt="Ada_x000a_Tidak Ada" sqref="F885" xr:uid="{00000000-0002-0000-0200-00006E000000}">
      <formula1>"Ada, Tidak Ada"</formula1>
    </dataValidation>
    <dataValidation type="list" allowBlank="1" showInputMessage="1" showErrorMessage="1" promptTitle="Terdapat Produk Unggulan Nangka" prompt="Ada_x000a_Tidak Ada" sqref="F883" xr:uid="{00000000-0002-0000-0200-00006F000000}">
      <formula1>"Ada, Tidak Ada"</formula1>
    </dataValidation>
    <dataValidation type="list" allowBlank="1" showInputMessage="1" showErrorMessage="1" promptTitle="Terdapat Produk Unggulan Salak" prompt="Ada_x000a_Tidak Ada" sqref="F881" xr:uid="{00000000-0002-0000-0200-000070000000}">
      <formula1>"Ada, Tidak Ada"</formula1>
    </dataValidation>
    <dataValidation type="list" allowBlank="1" showInputMessage="1" showErrorMessage="1" promptTitle="Produk Unggulan Durian Bokor" prompt="Ada_x000a_Tidak Ada" sqref="F879" xr:uid="{00000000-0002-0000-0200-000071000000}">
      <formula1>"Ada, Tidak Ada"</formula1>
    </dataValidation>
    <dataValidation type="list" allowBlank="1" showInputMessage="1" showErrorMessage="1" promptTitle="Produk Ungguln Durian Musangking" prompt="Ada_x000a_Tidak Ada" sqref="F877" xr:uid="{00000000-0002-0000-0200-000072000000}">
      <formula1>"Ada, Tidak Ada"</formula1>
    </dataValidation>
    <dataValidation type="list" allowBlank="1" showInputMessage="1" showErrorMessage="1" promptTitle="Produk Unggulan Durian Bawor" prompt="Ada_x000a_Tidak Ada" sqref="F875" xr:uid="{00000000-0002-0000-0200-000073000000}">
      <formula1>"Ada, Tidak Ada"</formula1>
    </dataValidation>
    <dataValidation type="list" allowBlank="1" showInputMessage="1" showErrorMessage="1" promptTitle="Produk Unggulan Durian Petruk" prompt="Ada_x000a_Tidak Ada" sqref="F873" xr:uid="{00000000-0002-0000-0200-000074000000}">
      <formula1>"Ada, Tidak Ada"</formula1>
    </dataValidation>
    <dataValidation type="list" allowBlank="1" showInputMessage="1" showErrorMessage="1" promptTitle="Produk Unggulan Durian Montong" prompt="Ada_x000a_Tidak Ada" sqref="F871" xr:uid="{00000000-0002-0000-0200-000075000000}">
      <formula1>"Ada, Tidak Ada"</formula1>
    </dataValidation>
    <dataValidation type="list" allowBlank="1" showInputMessage="1" showErrorMessage="1" promptTitle="Terdapat Produk Unggulan Alpukat" prompt="Ada_x000a_Tidak Ada" sqref="F869" xr:uid="{00000000-0002-0000-0200-000076000000}">
      <formula1>"Ada, Tidak Ada"</formula1>
    </dataValidation>
    <dataValidation type="list" allowBlank="1" showInputMessage="1" showErrorMessage="1" promptTitle="Terdapat Produk Unggulan Anggur" prompt="Ada_x000a_Tidak Ada" sqref="F867" xr:uid="{00000000-0002-0000-0200-000077000000}">
      <formula1>"Ada, Tidak Ada"</formula1>
    </dataValidation>
    <dataValidation type="list" allowBlank="1" showInputMessage="1" showErrorMessage="1" promptTitle="Terdapat Produk Unggulan Apel" prompt="Ada_x000a_Tidak Ada" sqref="F865" xr:uid="{00000000-0002-0000-0200-000078000000}">
      <formula1>"Ada, Tidak Ada"</formula1>
    </dataValidation>
    <dataValidation type="list" allowBlank="1" showInputMessage="1" showErrorMessage="1" promptTitle="Terdapat Produk Unggulan Nanas" prompt="Ada_x000a_Tidak Ada" sqref="F863" xr:uid="{00000000-0002-0000-0200-000079000000}">
      <formula1>"Ada, Tidak Ada"</formula1>
    </dataValidation>
    <dataValidation type="list" allowBlank="1" showInputMessage="1" showErrorMessage="1" promptTitle="Terdapat Produk Unggulan Pisang" prompt="Ada_x000a_Tidak Ada" sqref="F861" xr:uid="{00000000-0002-0000-0200-00007A000000}">
      <formula1>"Ada, Tidak Ada"</formula1>
    </dataValidation>
    <dataValidation type="list" allowBlank="1" showInputMessage="1" showErrorMessage="1" promptTitle="Terdapat Produk Unggulan Jambu" prompt="Ada_x000a_Tidak Ada" sqref="F859" xr:uid="{00000000-0002-0000-0200-00007B000000}">
      <formula1>"Ada, Tidak Ada"</formula1>
    </dataValidation>
    <dataValidation type="list" allowBlank="1" showInputMessage="1" showErrorMessage="1" promptTitle="Terdapat Produk Unggulan Pepaya" prompt="Ada_x000a_Tidak Ada" sqref="F857" xr:uid="{00000000-0002-0000-0200-00007C000000}">
      <formula1>"Ada, Tidak Ada"</formula1>
    </dataValidation>
    <dataValidation type="list" allowBlank="1" showInputMessage="1" showErrorMessage="1" promptTitle="Tdapat Produk Unggulan Rambutan" prompt="Ada_x000a_Tidak Ada" sqref="F855" xr:uid="{00000000-0002-0000-0200-00007D000000}">
      <formula1>"Ada, Tidak Ada"</formula1>
    </dataValidation>
    <dataValidation type="list" allowBlank="1" showInputMessage="1" showErrorMessage="1" promptTitle="Tdapat Produk Unggulan Stroberi" prompt="Ada_x000a_Tidak Ada" sqref="F853" xr:uid="{00000000-0002-0000-0200-00007E000000}">
      <formula1>"Ada, Tidak Ada"</formula1>
    </dataValidation>
    <dataValidation type="list" allowBlank="1" showInputMessage="1" showErrorMessage="1" promptTitle="Terdapat Produk Unggulan Melon" prompt="Ada_x000a_Tidak Ada" sqref="F851" xr:uid="{00000000-0002-0000-0200-00007F000000}">
      <formula1>"Ada, Tidak Ada"</formula1>
    </dataValidation>
    <dataValidation type="list" allowBlank="1" showInputMessage="1" showErrorMessage="1" promptTitle="Produk Unggulan Mangga Lokal" prompt="Ada_x000a_Tidak Ada" sqref="F848" xr:uid="{00000000-0002-0000-0200-000080000000}">
      <formula1>"Ada, Tidak Ada"</formula1>
    </dataValidation>
    <dataValidation type="list" allowBlank="1" showInputMessage="1" showErrorMessage="1" promptTitle="Produk Unggulan Mangga Apel" prompt="Ada_x000a_Tidak Ada" sqref="F846" xr:uid="{00000000-0002-0000-0200-000081000000}">
      <formula1>"Ada, Tidak Ada"</formula1>
    </dataValidation>
    <dataValidation type="list" allowBlank="1" showInputMessage="1" showErrorMessage="1" promptTitle="Produk Unggulan Mangga Malibu" prompt="Ada_x000a_Tidak Ada" sqref="F844" xr:uid="{00000000-0002-0000-0200-000082000000}">
      <formula1>"Ada, Tidak Ada"</formula1>
    </dataValidation>
    <dataValidation type="list" allowBlank="1" showInputMessage="1" showErrorMessage="1" promptTitle="Unggulan Mangga Gedongincu" prompt="Ada_x000a_Tidak Ada" sqref="F842" xr:uid="{00000000-0002-0000-0200-000083000000}">
      <formula1>"Ada, Tidak Ada"</formula1>
    </dataValidation>
    <dataValidation type="list" allowBlank="1" showInputMessage="1" showErrorMessage="1" promptTitle="Produk Unggulan Mangga Harumanis" prompt="Ada_x000a_Tidak Ada" sqref="F840" xr:uid="{00000000-0002-0000-0200-000084000000}">
      <formula1>"Ada, Tidak Ada"</formula1>
    </dataValidation>
    <dataValidation type="list" allowBlank="1" showInputMessage="1" showErrorMessage="1" promptTitle="Produk Unggulan Mangga Alpukat" prompt="Ada_x000a_Tidak Ada" sqref="F838" xr:uid="{00000000-0002-0000-0200-000085000000}">
      <formula1>"Ada, Tidak Ada"</formula1>
    </dataValidation>
    <dataValidation type="list" allowBlank="1" showInputMessage="1" showErrorMessage="1" promptTitle="Produk Unggulan Mangga Manalagi" prompt="Ada_x000a_Tidak Ada" sqref="F836" xr:uid="{00000000-0002-0000-0200-000086000000}">
      <formula1>"Ada, Tidak Ada"</formula1>
    </dataValidation>
    <dataValidation type="list" allowBlank="1" showInputMessage="1" showErrorMessage="1" promptTitle="Produk Unggulan Jeruk Bali" prompt="Ada_x000a_Tidak Ada" sqref="F834" xr:uid="{00000000-0002-0000-0200-000087000000}">
      <formula1>"Ada, Tidak Ada"</formula1>
    </dataValidation>
    <dataValidation type="list" allowBlank="1" showInputMessage="1" showErrorMessage="1" promptTitle="Produk Unggulan Jeruk Lokal" prompt="Ada_x000a_Tidak Ada" sqref="F831" xr:uid="{00000000-0002-0000-0200-000088000000}">
      <formula1>"Ada, Tidak Ada"</formula1>
    </dataValidation>
    <dataValidation type="list" allowBlank="1" showInputMessage="1" showErrorMessage="1" promptTitle="Produk Unggulan Jeruk Lemon" prompt="Ada_x000a_Tidak Ada" sqref="F829" xr:uid="{00000000-0002-0000-0200-000089000000}">
      <formula1>"Ada, Tidak Ada"</formula1>
    </dataValidation>
    <dataValidation type="list" allowBlank="1" showInputMessage="1" showErrorMessage="1" promptTitle="Produk Unggulan Jeruk Nipis" prompt="Ada_x000a_Tidak Ada" sqref="F827" xr:uid="{00000000-0002-0000-0200-00008A000000}">
      <formula1>"Ada, Tidak Ada"</formula1>
    </dataValidation>
    <dataValidation type="list" showInputMessage="1" showErrorMessage="1" promptTitle="T'dapat Produk Unggulan Semangka" prompt="Ada_x000a_Tidak Ada" sqref="F825" xr:uid="{00000000-0002-0000-0200-00008B000000}">
      <formula1>"Ada, Tidak Ada"</formula1>
    </dataValidation>
    <dataValidation type="list" showInputMessage="1" showErrorMessage="1" promptTitle="Aturan Pemdes Difabel" prompt="Ada_x000a_Tidak Ada" sqref="F767" xr:uid="{00000000-0002-0000-0200-00008C000000}">
      <formula1>"Ada, Tidak Ada"</formula1>
    </dataValidation>
    <dataValidation type="whole" showInputMessage="1" showErrorMessage="1" promptTitle="Jlh Tunadaksa Laki-laki" prompt=" " sqref="F763" xr:uid="{00000000-0002-0000-0200-00008D000000}">
      <formula1>0</formula1>
      <formula2>25</formula2>
    </dataValidation>
    <dataValidation type="whole" showInputMessage="1" showErrorMessage="1" promptTitle="Jlh Tunalaras Laki-laki" prompt=" " sqref="F761" xr:uid="{00000000-0002-0000-0200-00008E000000}">
      <formula1>0</formula1>
      <formula2>25</formula2>
    </dataValidation>
    <dataValidation type="whole" showInputMessage="1" showErrorMessage="1" promptTitle="Jlh Tunarungu Laki-laki" prompt=" " sqref="F759" xr:uid="{00000000-0002-0000-0200-00008F000000}">
      <formula1>0</formula1>
      <formula2>25</formula2>
    </dataValidation>
    <dataValidation type="list" showInputMessage="1" showErrorMessage="1" promptTitle="Alokasi Anggaran aturn Keagamaan" prompt="Ada_x000a_Tidak Ada" sqref="F708" xr:uid="{00000000-0002-0000-0200-000090000000}">
      <formula1>"Ada, Tidak Ada"</formula1>
    </dataValidation>
    <dataValidation type="list" showInputMessage="1" showErrorMessage="1" promptTitle="Kendala Layanan berbasis Online" prompt="Ada_x000a_Tidak Ada" sqref="F672" xr:uid="{00000000-0002-0000-0200-000091000000}">
      <formula1>"Ada, Tidak Ada"</formula1>
    </dataValidation>
    <dataValidation type="list" showInputMessage="1" showErrorMessage="1" promptTitle="Desa menyediakan Helpdesk Online" prompt="Ada_x000a_Tidak Ada" sqref="F671" xr:uid="{00000000-0002-0000-0200-000092000000}">
      <formula1>"Ada, Tidak Ada"</formula1>
    </dataValidation>
    <dataValidation type="list" showInputMessage="1" showErrorMessage="1" promptTitle="Pemdes Latih SDM u/ Lay Online" prompt="Ada_x000a_Tidak Ada" sqref="F670" xr:uid="{00000000-0002-0000-0200-000093000000}">
      <formula1>"Ada, Tidak Ada"</formula1>
    </dataValidation>
    <dataValidation type="list" showInputMessage="1" showErrorMessage="1" promptTitle="Anggaran Pemdes u/ Lay Online" prompt="Ada_x000a_Tidak Ada" sqref="F669" xr:uid="{00000000-0002-0000-0200-000094000000}">
      <formula1>"Ada, Tidak Ada"</formula1>
    </dataValidation>
    <dataValidation type="list" showInputMessage="1" showErrorMessage="1" promptTitle="Komunitas Belajar Digital desa" prompt="Ada_x000a_Tidak Ada" sqref="F657" xr:uid="{00000000-0002-0000-0200-000095000000}">
      <formula1>"Ada, Tidak Ada"</formula1>
    </dataValidation>
    <dataValidation type="list" showInputMessage="1" showErrorMessage="1" promptTitle="Literasi Digital Perangkat Desa" prompt="Ada_x000a_Tidak Ada" sqref="F656" xr:uid="{00000000-0002-0000-0200-000096000000}">
      <formula1>"Ada, Tidak Ada"</formula1>
    </dataValidation>
    <dataValidation type="list" showInputMessage="1" showErrorMessage="1" promptTitle="Sumber Air Minum dari Kemasan" prompt="Ada_x000a_Tidak Ada" sqref="F594" xr:uid="{00000000-0002-0000-0200-000097000000}">
      <formula1>"Ada, Tidak ada"</formula1>
    </dataValidation>
    <dataValidation type="list" showInputMessage="1" showErrorMessage="1" promptTitle="Terdapat Peternakan Kerbau" prompt="Ada_x000a_Tidak Ada" sqref="F167" xr:uid="{00000000-0002-0000-0200-000098000000}">
      <formula1>"Ada, Tidak Ada"</formula1>
    </dataValidation>
    <dataValidation type="list" showInputMessage="1" showErrorMessage="1" promptTitle="Terdapat Peternakan Babi" prompt="Ada_x000a_Tidak Ada" sqref="F166" xr:uid="{00000000-0002-0000-0200-000099000000}">
      <formula1>"Ada, Tidak Ada"</formula1>
    </dataValidation>
    <dataValidation type="list" showInputMessage="1" showErrorMessage="1" promptTitle="Terdapat Peternakan Sapi" prompt="Ada_x000a_Tidak Ada" sqref="F165" xr:uid="{00000000-0002-0000-0200-00009A000000}">
      <formula1>"Ada, Tidak Ada"</formula1>
    </dataValidation>
    <dataValidation type="list" showInputMessage="1" showErrorMessage="1" promptTitle="Terdapat Peternakan Kambing" prompt="Ada_x000a_Tidak Ada" sqref="F164" xr:uid="{00000000-0002-0000-0200-00009B000000}">
      <formula1>"Ada, Tidak Ada"</formula1>
    </dataValidation>
    <dataValidation type="list" showInputMessage="1" showErrorMessage="1" promptTitle="T'dapat Peternakan Bebek Petelur" prompt="Ada_x000a_Tidak Ada" sqref="F163" xr:uid="{00000000-0002-0000-0200-00009C000000}">
      <formula1>"Ada, Tidak Ada"</formula1>
    </dataValidation>
    <dataValidation type="list" showInputMessage="1" showErrorMessage="1" promptTitle="T'dapat Peternakan Bebek Pdaging" prompt="Ada_x000a_Tidak Ada" sqref="F162" xr:uid="{00000000-0002-0000-0200-00009D000000}">
      <formula1>"Ada, Tidak Ada"</formula1>
    </dataValidation>
    <dataValidation type="list" showInputMessage="1" showErrorMessage="1" promptTitle="Terdapat Peternakan Ayam Petelur" prompt="Ada_x000a_Tidak Ada" sqref="F161" xr:uid="{00000000-0002-0000-0200-00009E000000}">
      <formula1>"Ada, Tidak Ada"</formula1>
    </dataValidation>
    <dataValidation type="list" showInputMessage="1" showErrorMessage="1" promptTitle="T'dapat Peternakan Ayam Pedaging" prompt="Ada_x000a_Tidak Ada" sqref="F160" xr:uid="{00000000-0002-0000-0200-00009F000000}">
      <formula1>"Ada, Tidak Ada"</formula1>
    </dataValidation>
    <dataValidation type="whole" operator="greaterThanOrEqual" allowBlank="1" showInputMessage="1" showErrorMessage="1" promptTitle="Total LPM dan Anggota" prompt="LPM dan Anggota Perempuan_x000a_(Terisi dari Unggah Template Staf Petugas Desa dan Lembaga Kemasayarakatan Desa)" sqref="F37" xr:uid="{00000000-0002-0000-0200-0000A0000000}">
      <formula1>0</formula1>
    </dataValidation>
    <dataValidation showInputMessage="1" showErrorMessage="1" promptTitle="Ada Tidaknya Karang Taruna" prompt="LPM dan Anggota Perempuan_x000a_(Terisi dari Unggah Template Staf Petugas Desa dan Lembaga Kemasayarakatan Desa)" sqref="F39" xr:uid="{00000000-0002-0000-0200-0000A1000000}"/>
    <dataValidation type="list" showInputMessage="1" showErrorMessage="1" promptTitle="Sumber Listrik dari Diesel" prompt="Ada_x000a_Tidak Ada" sqref="F622" xr:uid="{00000000-0002-0000-0200-0000A2000000}">
      <formula1>"Ada, Tidak Ada"</formula1>
    </dataValidation>
    <dataValidation type="whole" showInputMessage="1" showErrorMessage="1" promptTitle="Jrk ke Pst Kursus/P'latihan" prompt=" " sqref="F1044" xr:uid="{00000000-0002-0000-0200-0000A3000000}">
      <formula1>0</formula1>
      <formula2>25000</formula2>
    </dataValidation>
    <dataValidation type="whole" showInputMessage="1" showErrorMessage="1" promptTitle="Jarak Apotik Terdekat" prompt="(Meter)" sqref="F573" xr:uid="{00000000-0002-0000-0200-0000A4000000}">
      <formula1>0</formula1>
      <formula2>100000</formula2>
    </dataValidation>
    <dataValidation type="whole" showInputMessage="1" showErrorMessage="1" promptTitle="Jarak Bidan Terdekat" prompt="(Meter)" sqref="F569" xr:uid="{00000000-0002-0000-0200-0000A5000000}">
      <formula1>0</formula1>
      <formula2>100000</formula2>
    </dataValidation>
    <dataValidation type="list" showInputMessage="1" showErrorMessage="1" promptTitle="Program Pembangunan APBD Swasta" prompt="Ada_x000a_Tidak Ada" sqref="F1471" xr:uid="{00000000-0002-0000-0200-0000A6000000}">
      <formula1>"Ada, Tidak Ada"</formula1>
    </dataValidation>
    <dataValidation type="list" showInputMessage="1" showErrorMessage="1" promptTitle="Bulan Hari Jadi Desa" prompt=" " sqref="F94" xr:uid="{00000000-0002-0000-0200-0000A7000000}">
      <formula1>tanggal</formula1>
    </dataValidation>
    <dataValidation type="list" allowBlank="1" showInputMessage="1" showErrorMessage="1" promptTitle="Kelompok Khusus Wanita" prompt="Tidak Ada_x000a_Ada" sqref="F57" xr:uid="{00000000-0002-0000-0200-0000A8000000}">
      <formula1>"Ada, Tidak Ada"</formula1>
    </dataValidation>
    <dataValidation type="list" allowBlank="1" showInputMessage="1" showErrorMessage="1" promptTitle="Tdpt Kelompok/Lembaga Pengrajin" prompt="Tidak Ada_x000a_Ada" sqref="F55" xr:uid="{00000000-0002-0000-0200-0000A9000000}">
      <formula1>"Ada, Tidak Ada"</formula1>
    </dataValidation>
    <dataValidation type="list" allowBlank="1" showInputMessage="1" showErrorMessage="1" promptTitle="Kelompok/Lembaga Usaha Ternak" prompt="Tidak Ada_x000a_Ada" sqref="F53" xr:uid="{00000000-0002-0000-0200-0000AA000000}">
      <formula1>"Ada, Tidak Ada"</formula1>
    </dataValidation>
    <dataValidation type="list" showInputMessage="1" showErrorMessage="1" promptTitle="T'dapat Kelompok/Lembaga Nelayan" prompt="Keterangan: _x000a_Tidak Ada_x000a_Ada" sqref="F51" xr:uid="{00000000-0002-0000-0200-0000AB000000}">
      <formula1>"Ada, Tidak Ada"</formula1>
    </dataValidation>
    <dataValidation type="list" showInputMessage="1" showErrorMessage="1" promptTitle="Terdapat Budidaya Ikan Gurame" prompt="Ada_x000a_Tidak Ada" sqref="F154" xr:uid="{00000000-0002-0000-0200-0000AC000000}">
      <formula1>"Ada, Tidak Ada"</formula1>
    </dataValidation>
    <dataValidation type="list" allowBlank="1" showInputMessage="1" showErrorMessage="1" promptTitle="Terdapat Budidaya Ikan Nila" prompt="Ada_x000a_Tidak Ada" sqref="F153" xr:uid="{00000000-0002-0000-0200-0000AD000000}">
      <formula1>"Ada, Tidak Ada"</formula1>
    </dataValidation>
    <dataValidation type="list" allowBlank="1" showInputMessage="1" showErrorMessage="1" promptTitle="Terdapat Budidaya Ikan Tilapia" prompt="Ada_x000a_Tidak Ada" sqref="F152" xr:uid="{00000000-0002-0000-0200-0000AE000000}">
      <formula1>"Ada, Tidak Ada"</formula1>
    </dataValidation>
    <dataValidation type="list" allowBlank="1" showInputMessage="1" showErrorMessage="1" promptTitle="Terdapat Budidaya Ikan Lele" prompt="Ada_x000a_Tidak Ada" sqref="F151" xr:uid="{00000000-0002-0000-0200-0000AF000000}">
      <formula1>"Ada, Tidak Ada"</formula1>
    </dataValidation>
    <dataValidation type="list" allowBlank="1" showInputMessage="1" showErrorMessage="1" promptTitle="Terdapat Budidaya Ikan Tuna" prompt="Ada_x000a_Tidak Ada" sqref="F139" xr:uid="{00000000-0002-0000-0200-0000B0000000}">
      <formula1>"Ada, Tidak Ada"</formula1>
    </dataValidation>
    <dataValidation type="list" allowBlank="1" showInputMessage="1" showErrorMessage="1" promptTitle="Terdapat Budidaya Rumput Laut" prompt="Ada_x000a_Tidak Ada" sqref="F138" xr:uid="{00000000-0002-0000-0200-0000B1000000}">
      <formula1>"Ada, Tidak Ada"</formula1>
    </dataValidation>
    <dataValidation type="list" allowBlank="1" showInputMessage="1" showErrorMessage="1" promptTitle="Terdapat Budidaya Rajungan" prompt="Ada_x000a_Tidak Ada" sqref="F137" xr:uid="{00000000-0002-0000-0200-0000B2000000}">
      <formula1>"Ada, Tidak Ada"</formula1>
    </dataValidation>
    <dataValidation type="list" allowBlank="1" showInputMessage="1" showErrorMessage="1" promptTitle="Budidaya Kepiting Air Tawar" prompt="Ada_x000a_Tidak Ada" sqref="F150" xr:uid="{00000000-0002-0000-0200-0000B3000000}">
      <formula1>"Ada, Tidak Ada"</formula1>
    </dataValidation>
    <dataValidation type="list" allowBlank="1" showInputMessage="1" showErrorMessage="1" promptTitle="Budidaya Kepiting Air Laut" prompt="Ada_x000a_Tidak Ada" sqref="F135" xr:uid="{00000000-0002-0000-0200-0000B4000000}">
      <formula1>"Ada, Tidak Ada"</formula1>
    </dataValidation>
    <dataValidation type="list" allowBlank="1" showInputMessage="1" showErrorMessage="1" promptTitle="Budidaya Udang Air Tawar" prompt="Ada_x000a_Tidak Ada" sqref="F148:F149" xr:uid="{00000000-0002-0000-0200-0000B5000000}">
      <formula1>"Ada, Tidak Ada"</formula1>
    </dataValidation>
    <dataValidation type="list" allowBlank="1" showInputMessage="1" showErrorMessage="1" promptTitle="Terdapat Budidaya Udang Laut" prompt="Ada_x000a_Tidak Ada" sqref="F134" xr:uid="{00000000-0002-0000-0200-0000B6000000}">
      <formula1>"Ada, Tidak Ada"</formula1>
    </dataValidation>
    <dataValidation type="list" allowBlank="1" showInputMessage="1" showErrorMessage="1" promptTitle="Terdapat Perikanan Budidaya" prompt="Ada_x000a_Tidak Ada" sqref="F132" xr:uid="{00000000-0002-0000-0200-0000B7000000}">
      <formula1>"Ada, Tidak Ada"</formula1>
    </dataValidation>
    <dataValidation type="list" showInputMessage="1" showErrorMessage="1" promptTitle="Terdapat Perikanan Tangkap" prompt="Ada_x000a_Tidak Ada" sqref="F131" xr:uid="{00000000-0002-0000-0200-0000B8000000}">
      <formula1>"Ada, Tidak Ada"</formula1>
    </dataValidation>
    <dataValidation type="list" allowBlank="1" showInputMessage="1" showErrorMessage="1" promptTitle="Terdapat Kelompok POKDARWIS" prompt="Tidak Ada_x000a_Ada" sqref="F61" xr:uid="{00000000-0002-0000-0200-0000B9000000}">
      <formula1>"Ada, Tidak Ada"</formula1>
    </dataValidation>
    <dataValidation type="list" showInputMessage="1" showErrorMessage="1" promptTitle="Terdapat Kelompok/Lembaga Tani?" prompt="Keterangan: _x000a_Tidak Ada_x000a_Ada" sqref="F49" xr:uid="{00000000-0002-0000-0200-0000BA000000}">
      <formula1>"Ada, Tidak Ada"</formula1>
    </dataValidation>
    <dataValidation type="list" showInputMessage="1" showErrorMessage="1" promptTitle="Jenis Kelamin Sekretaris Desa" prompt="Laki- Laki_x000a_Perempuan" sqref="F9" xr:uid="{00000000-0002-0000-0200-0000BB000000}">
      <formula1>IF(OR(F6="",F6="Tidak Ada"),strip,kelamin)</formula1>
    </dataValidation>
    <dataValidation type="list" showInputMessage="1" showErrorMessage="1" promptTitle="Terdapat Laptop Milik Desa" prompt="Ada_x000a_Tidak Ada" sqref="F1401" xr:uid="{00000000-0002-0000-0200-0000BC000000}">
      <formula1>"Ada, Tidak Ada"</formula1>
    </dataValidation>
    <dataValidation type="list" showInputMessage="1" showErrorMessage="1" promptTitle="Bendungan Budidaya Perikanan" prompt="Ada_x000a_Tidak Ada" sqref="F1370" xr:uid="{00000000-0002-0000-0200-0000BD000000}">
      <formula1>"Ada, Tidak Ada"</formula1>
    </dataValidation>
    <dataValidation type="list" showInputMessage="1" showErrorMessage="1" promptTitle="Keberadaan Bendungan Irigasi" prompt="Ada_x000a_Tidak Ada" sqref="F1368" xr:uid="{00000000-0002-0000-0200-0000BE000000}">
      <formula1>"Ada, Tidak Ada"</formula1>
    </dataValidation>
    <dataValidation type="list" showInputMessage="1" showErrorMessage="1" promptTitle="Bendungan Objek Wisata" prompt="Ada_x000a_Tidak Ada" sqref="F1369" xr:uid="{00000000-0002-0000-0200-0000BF000000}">
      <formula1>"Ada, Tidak Ada"</formula1>
    </dataValidation>
    <dataValidation type="list" showInputMessage="1" showErrorMessage="1" promptTitle="Bendungan Sumber Energi Listrik" prompt="Ada_x000a_Tidak Ada" sqref="F1371" xr:uid="{00000000-0002-0000-0200-0000C0000000}">
      <formula1>"Ada, Tidak Ada"</formula1>
    </dataValidation>
    <dataValidation type="list" showInputMessage="1" showErrorMessage="1" promptTitle="Keberadaan Jembatan Gantung desa" prompt="Tidak Ada_x000a_Ada, Hanya dilalui Orang_x000a_Ada, Dapat dilalui kendaraan roda 2" sqref="F1366" xr:uid="{00000000-0002-0000-0200-0000C1000000}">
      <formula1>"Tidak Ada, Ada - Hanya dilalui Orang, Ada - Dapat dilalui Kendaraan Roda Dua"</formula1>
    </dataValidation>
    <dataValidation type="list" showInputMessage="1" showErrorMessage="1" promptTitle="Jenis Permukaan Jalan Terluas" prompt="1: Tidak ada akses apapun_x000a_2: Akses lainnya_x000a_3: Tanah_x000a_4: Diperkeras (kerikil, batu, dll)_x000a_5: Aspal/beton" sqref="F1365" xr:uid="{00000000-0002-0000-0200-0000C2000000}">
      <formula1>"1,2,3,4,5"</formula1>
    </dataValidation>
    <dataValidation type="list" showInputMessage="1" showErrorMessage="1" promptTitle="SOP Mitigasi Bencana" prompt="Ada_x000a_Tidak Ada" sqref="F1318" xr:uid="{00000000-0002-0000-0200-0000C3000000}">
      <formula1>"Ada, Tidak Ada"</formula1>
    </dataValidation>
    <dataValidation type="list" showInputMessage="1" showErrorMessage="1" promptTitle="Uji Kesiapsiagaan/ Simulasi" prompt="Ada_x000a_Tidak Ada" sqref="F1314" xr:uid="{00000000-0002-0000-0200-0000C4000000}">
      <formula1>"Ada, Tidak Ada"</formula1>
    </dataValidation>
    <dataValidation type="list" showInputMessage="1" showErrorMessage="1" promptTitle="Tempat Pengungsian di Desa" prompt="Ada_x000a_Tidak Ada" sqref="F1309" xr:uid="{00000000-0002-0000-0200-0000C5000000}">
      <formula1>"Ada, Tidak Ada"</formula1>
    </dataValidation>
    <dataValidation type="list" showInputMessage="1" showErrorMessage="1" promptTitle="Jalur Evakuasi" prompt="Terdapat fasilitas mitigasi bencana alam di Desa berupa jalur evakuasi_x000a_Ada_x000a_Tidak Ada" sqref="F1304" xr:uid="{00000000-0002-0000-0200-0000C6000000}">
      <formula1>"Ada, Tidak Ada"</formula1>
    </dataValidation>
    <dataValidation type="list" showInputMessage="1" showErrorMessage="1" error="Cek Kuesioner Indeks Desa terkait Bencana di desa" promptTitle="Bencana Alam Sering Terjadi" prompt="(Pilihan)_x000a_Isi Keberadaan Terjadinya Bencana di desa_x000a_Kuesioner Indeks Desa " sqref="F1288" xr:uid="{00000000-0002-0000-0200-0000C7000000}">
      <formula1>bencana</formula1>
    </dataValidation>
    <dataValidation type="list" showInputMessage="1" showErrorMessage="1" promptTitle="Kejadian Bencana Lainnya" prompt="Ada_x000a_Tidak Ada" sqref="F1285" xr:uid="{00000000-0002-0000-0200-0000C8000000}">
      <formula1>"Ada, Tidak Ada"</formula1>
    </dataValidation>
    <dataValidation type="list" showInputMessage="1" showErrorMessage="1" promptTitle="Kerjasama Pencegahan Bencana" prompt="Ada_x000a_Tidak Ada" sqref="F1275" xr:uid="{00000000-0002-0000-0200-0000C9000000}">
      <formula1>"Ada, Tidak Ada"</formula1>
    </dataValidation>
    <dataValidation type="list" allowBlank="1" showInputMessage="1" showErrorMessage="1" promptTitle="Pembayaran dgn Sistem Elektronik" prompt="Tidak Ada_x000a_&lt;25%_x000a_25% - 50%_x000a_50% - 75%_x000a_&gt;75%" sqref="F1257" xr:uid="{00000000-0002-0000-0200-0000CA000000}">
      <formula1>"Tidak Ada, &lt;25%, 25% - 50%, 50% - 75%, &gt;75%"</formula1>
    </dataValidation>
    <dataValidation type="list" showInputMessage="1" showErrorMessage="1" promptTitle="Kerjasama Desa Luar Kecamatan" prompt="Terdapat Kerjasama Desa Luar Kecamatan_x000a_Ada_x000a_Tidak Ada" sqref="F1005" xr:uid="{00000000-0002-0000-0200-0000CB000000}">
      <formula1>"Ada, Tidak Ada"</formula1>
    </dataValidation>
    <dataValidation type="list" showInputMessage="1" showErrorMessage="1" promptTitle="Kerjasama Desa 1 Kecamatan" prompt="Terdapat Kerjasama Desa dalam 1 Kecamatan_x000a_Ada_x000a_Tidak Ada" sqref="F995" xr:uid="{00000000-0002-0000-0200-0000CC000000}">
      <formula1>"Ada, Tidak Ada"</formula1>
    </dataValidation>
    <dataValidation type="list" showInputMessage="1" showErrorMessage="1" promptTitle="Terdapat Produk Unggulan Tomat" prompt="Ada_x000a_Tidak Ada" sqref="F823" xr:uid="{00000000-0002-0000-0200-0000CD000000}">
      <formula1>"Ada, Tidak Ada"</formula1>
    </dataValidation>
    <dataValidation type="list" allowBlank="1" showInputMessage="1" showErrorMessage="1" promptTitle="Terdapat Produk Unggulan Lainnya" prompt="Ada_x000a_Tidak Ada" sqref="F818 F936" xr:uid="{00000000-0002-0000-0200-0000CE000000}">
      <formula1>"Ada, Tidak Ada"</formula1>
    </dataValidation>
    <dataValidation type="whole" showInputMessage="1" showErrorMessage="1" promptTitle="Jlh Tunagrahita Laki-laki" prompt=" " sqref="F755" xr:uid="{00000000-0002-0000-0200-0000CF000000}">
      <formula1>0</formula1>
      <formula2>25</formula2>
    </dataValidation>
    <dataValidation type="list" showInputMessage="1" showErrorMessage="1" promptTitle="Fasilitas Publik Belajar Digital" prompt="Ada_x000a_Tidak Ada" sqref="F751" xr:uid="{00000000-0002-0000-0200-0000D0000000}">
      <formula1>"Ada, Tidak Ada"</formula1>
    </dataValidation>
    <dataValidation type="list" showInputMessage="1" showErrorMessage="1" sqref="C722" xr:uid="{00000000-0002-0000-0200-0000D1000000}">
      <formula1>"Ada, Tidak Ada"</formula1>
    </dataValidation>
    <dataValidation type="list" showInputMessage="1" showErrorMessage="1" promptTitle="Alokasi Aturan Kegiatan Budaya" prompt="Ada_x000a_Tidak Ada" sqref="F717" xr:uid="{00000000-0002-0000-0200-0000D2000000}">
      <formula1>"Ada, Tidak Ada"</formula1>
    </dataValidation>
    <dataValidation type="whole" showInputMessage="1" showErrorMessage="1" promptTitle="Jarak Tower Terdekat" prompt="Input Menggunakan Angka" sqref="F679" xr:uid="{00000000-0002-0000-0200-0000D3000000}">
      <formula1>0</formula1>
      <formula2>5000</formula2>
    </dataValidation>
    <dataValidation type="list" showInputMessage="1" showErrorMessage="1" promptTitle="Aturan Pemdes Plindungn Keamanan" prompt="Ada_x000a_Tidak Ada" sqref="F719" xr:uid="{00000000-0002-0000-0200-0000D4000000}">
      <formula1>"Ada, Tidak Ada"</formula1>
    </dataValidation>
    <dataValidation type="list" showInputMessage="1" showErrorMessage="1" promptTitle="Sumber Air Minum dari Lainnya" prompt="Ada_x000a_Tidak Ada" sqref="F605" xr:uid="{00000000-0002-0000-0200-0000D5000000}">
      <formula1>"Ada, Tidak ada"</formula1>
    </dataValidation>
    <dataValidation type="list" showInputMessage="1" showErrorMessage="1" promptTitle="Rumah Singgah untuk Ibu Hamil" prompt="Ada_x000a_Tidak Ada" sqref="F530" xr:uid="{00000000-0002-0000-0200-0000D6000000}">
      <formula1>"Ada, Tidak Ada"</formula1>
    </dataValidation>
    <dataValidation type="list" showInputMessage="1" showErrorMessage="1" promptTitle="Lay Konsultasi Kesehatan Online" prompt="Ada_x000a_Tidak Ada" sqref="F528" xr:uid="{00000000-0002-0000-0200-0000D7000000}">
      <formula1>"Ada, Tidak Ada"</formula1>
    </dataValidation>
    <dataValidation type="whole" showInputMessage="1" showErrorMessage="1" promptTitle="Jlh Tunanetra Laki-laki" prompt=" " sqref="F757" xr:uid="{00000000-0002-0000-0200-0000D8000000}">
      <formula1>0</formula1>
      <formula2>25</formula2>
    </dataValidation>
    <dataValidation type="list" allowBlank="1" showInputMessage="1" showErrorMessage="1" promptTitle="Kel Penanggulangan Bencana" prompt="Ada_x000a_Tidak Ada" sqref="F63" xr:uid="{00000000-0002-0000-0200-0000D9000000}">
      <formula1>"Ada, Tidak Ada"</formula1>
    </dataValidation>
    <dataValidation type="list" allowBlank="1" showInputMessage="1" showErrorMessage="1" promptTitle="Pelayanan Administrasi Penduduk" prompt="Ada_x000a_Tidak Ada" sqref="F48" xr:uid="{00000000-0002-0000-0200-0000DA000000}">
      <formula1>"Ada,Tidak Ada"</formula1>
    </dataValidation>
    <dataValidation type="list" showInputMessage="1" showErrorMessage="1" promptTitle="Kelompok Belajar Digital di Desa" prompt="Ada_x000a_Tidak Ada" sqref="F752" xr:uid="{00000000-0002-0000-0200-0000DB000000}">
      <formula1>"Ada, Tidak Ada"</formula1>
    </dataValidation>
    <dataValidation allowBlank="1" showInputMessage="1" showErrorMessage="1" promptTitle="Bukti Absensi Musdes" prompt=" Terisi secara Otomatis" sqref="F87" xr:uid="{00000000-0002-0000-0200-0000DC000000}"/>
    <dataValidation type="whole" showInputMessage="1" showErrorMessage="1" error="Isi Nomor Telepon dengan benar_x000a_Jika Tidak Ada Sekdes, Diisi angka nol" promptTitle="Nomor Telp Sekdes yg Aktif" prompt="Di isi tanpa awalan angka NOL (0)_x000a_contoh:_x000a_8171234567890" sqref="F8" xr:uid="{00000000-0002-0000-0200-0000DD000000}">
      <formula1>IF(OR(F6="",F6="Tidak ada"),0,8111111111)</formula1>
      <formula2>IF(OR(F6="",F6="Tidak ada"),0,899999999999)</formula2>
    </dataValidation>
    <dataValidation type="whole" showInputMessage="1" showErrorMessage="1" promptTitle="Jumlah Pemuda Pelopor Desa" prompt="(Orang)" sqref="F71" xr:uid="{00000000-0002-0000-0200-0000DE000000}">
      <formula1>0</formula1>
      <formula2>50</formula2>
    </dataValidation>
    <dataValidation allowBlank="1" showInputMessage="1" showErrorMessage="1" promptTitle="% Rumah Tidak Layak Huni" prompt="1: &gt;80 - 100%_x000a_2: &gt;60 - 80%_x000a_3: &gt;40 - 60%_x000a_4: &gt;20 - 40% _x000a_5: 0-20% " sqref="F87" xr:uid="{00000000-0002-0000-0200-0000DF000000}"/>
    <dataValidation type="whole" allowBlank="1" showInputMessage="1" showErrorMessage="1" promptTitle="Jumlah Musyawarah Insidental" prompt="( Diisi Angka)" sqref="F87" xr:uid="{00000000-0002-0000-0200-0000E0000000}">
      <formula1>0</formula1>
      <formula2>24</formula2>
    </dataValidation>
    <dataValidation allowBlank="1" showInputMessage="1" showErrorMessage="1" promptTitle="Rata-rata pendidikan SD-SMP-SMU" prompt="Terhitung secara Otomatis_x000a_(Tahun)" sqref="F511" xr:uid="{00000000-0002-0000-0200-0000E1000000}"/>
    <dataValidation allowBlank="1" showInputMessage="1" showErrorMessage="1" promptTitle="Pengurus BUMDesa Bersama" prompt="(Terisi dari Unggah Template BUMDes dan BUMDesa Bersama)" sqref="F1255 F1246" xr:uid="{00000000-0002-0000-0200-0000E2000000}"/>
    <dataValidation allowBlank="1" showInputMessage="1" showErrorMessage="1" promptTitle="Pengurus BUMDesa" prompt="(Terisi dari Unggah Template BUMDes dan BUMDesa Bersama)" sqref="F1245" xr:uid="{00000000-0002-0000-0200-0000E3000000}"/>
    <dataValidation type="whole" operator="lessThanOrEqual" showInputMessage="1" showErrorMessage="1" promptTitle="Jlh Perempuan Ikut Musyawarah" prompt="Jumlah Perempuan Ikut Musyawarah Desa_x000a_(Terisi dari Unggah Template Musyawarah Desa)" sqref="F87" xr:uid="{00000000-0002-0000-0200-0000E4000000}">
      <formula1>500</formula1>
    </dataValidation>
    <dataValidation type="whole" operator="greaterThanOrEqual" allowBlank="1" showInputMessage="1" showErrorMessage="1" promptTitle="Jumlah Pekerjaan PBK" prompt="Jumlah Pekerja Penyandang Kebutuhan Khusus Perempuan_x000a_(Terhitung Secara Otomatis)" sqref="F496" xr:uid="{00000000-0002-0000-0200-0000E5000000}">
      <formula1>0</formula1>
    </dataValidation>
    <dataValidation type="list" allowBlank="1" showInputMessage="1" showErrorMessage="1" promptTitle="Terdapat Wisata Seni &amp; Tradisi" prompt="Ada_x000a_Tidak Ada" sqref="F319" xr:uid="{00000000-0002-0000-0200-0000E6000000}">
      <formula1>"Ada, Tidak Ada"</formula1>
    </dataValidation>
    <dataValidation type="list" allowBlank="1" showInputMessage="1" showErrorMessage="1" promptTitle="Terdapat Wisata Kuliner" prompt="Ada_x000a_Tidak Ada" sqref="F310" xr:uid="{00000000-0002-0000-0200-0000E7000000}">
      <formula1>"Ada, Tidak Ada"</formula1>
    </dataValidation>
    <dataValidation type="list" allowBlank="1" showInputMessage="1" showErrorMessage="1" promptTitle="Terdapat Wisata Sejarah &amp; Religi" prompt="Ada_x000a_Tidak Ada" sqref="F301" xr:uid="{00000000-0002-0000-0200-0000E8000000}">
      <formula1>"Ada, Tidak Ada"</formula1>
    </dataValidation>
    <dataValidation type="list" allowBlank="1" showInputMessage="1" showErrorMessage="1" promptTitle="Terdapat Wisata Budaya DesaWita" prompt="Ada_x000a_Tidak Ada" sqref="F292" xr:uid="{00000000-0002-0000-0200-0000E9000000}">
      <formula1>"Ada, Tidak Ada"</formula1>
    </dataValidation>
    <dataValidation type="list" allowBlank="1" showInputMessage="1" showErrorMessage="1" promptTitle="Terdapat Wisata Buatan Lainnya" prompt="Ada_x000a_Tidak Ada" sqref="F282" xr:uid="{00000000-0002-0000-0200-0000EA000000}">
      <formula1>"Ada, Tidak Ada"</formula1>
    </dataValidation>
    <dataValidation type="list" allowBlank="1" showInputMessage="1" showErrorMessage="1" promptTitle="Terdapat Wisata Taman" prompt="Ada_x000a_Tidak Ada" sqref="F273" xr:uid="{00000000-0002-0000-0200-0000EB000000}">
      <formula1>"Ada, Tidak Ada"</formula1>
    </dataValidation>
    <dataValidation type="list" allowBlank="1" showInputMessage="1" showErrorMessage="1" promptTitle="Terdapat Wisata Kolam Pemandian " prompt="Ada_x000a_Tidak Ada" sqref="F264" xr:uid="{00000000-0002-0000-0200-0000EC000000}">
      <formula1>"Ada, Tidak Ada"</formula1>
    </dataValidation>
    <dataValidation type="list" allowBlank="1" showInputMessage="1" showErrorMessage="1" promptTitle="Terdapat Wisata Embung" prompt="Ada_x000a_Tidak Ada" sqref="F255" xr:uid="{00000000-0002-0000-0200-0000ED000000}">
      <formula1>"Ada, Tidak Ada"</formula1>
    </dataValidation>
    <dataValidation type="list" allowBlank="1" showInputMessage="1" showErrorMessage="1" promptTitle="Terdapat Wisata Alam Lainnya" prompt="Ada_x000a_Tidak Ada" sqref="F245" xr:uid="{00000000-0002-0000-0200-0000EE000000}">
      <formula1>"Ada, Tidak Ada"</formula1>
    </dataValidation>
    <dataValidation type="list" allowBlank="1" showInputMessage="1" showErrorMessage="1" promptTitle="Terdapat Wisata Air Panas" prompt="Ada_x000a_Tidak Ada" sqref="F236" xr:uid="{00000000-0002-0000-0200-0000EF000000}">
      <formula1>"Ada, Tidak Ada"</formula1>
    </dataValidation>
    <dataValidation type="list" allowBlank="1" showInputMessage="1" showErrorMessage="1" promptTitle="Terdapat Wisata Air Terjun" prompt="Ada_x000a_Tidak Ada" sqref="F227" xr:uid="{00000000-0002-0000-0200-0000F0000000}">
      <formula1>"Ada, Tidak Ada"</formula1>
    </dataValidation>
    <dataValidation type="list" allowBlank="1" showInputMessage="1" showErrorMessage="1" promptTitle="Terdapat Wisata Sungai" prompt="Ada_x000a_Tidak Ada" sqref="F218" xr:uid="{00000000-0002-0000-0200-0000F1000000}">
      <formula1>"Ada, Tidak Ada"</formula1>
    </dataValidation>
    <dataValidation type="list" allowBlank="1" showInputMessage="1" showErrorMessage="1" promptTitle="Terdapat Wisata Hutan" prompt="Ada_x000a_Tidak Ada" sqref="F209" xr:uid="{00000000-0002-0000-0200-0000F2000000}">
      <formula1>"Ada, Tidak Ada"</formula1>
    </dataValidation>
    <dataValidation type="list" allowBlank="1" showInputMessage="1" showErrorMessage="1" promptTitle="Terdapat Wisata Danau" prompt="Ada_x000a_Tidak Ada" sqref="F200" xr:uid="{00000000-0002-0000-0200-0000F3000000}">
      <formula1>"Ada, Tidak Ada"</formula1>
    </dataValidation>
    <dataValidation type="list" allowBlank="1" showInputMessage="1" showErrorMessage="1" promptTitle="Terdapat Wisata Pegunungan" prompt="Ada_x000a_Tidak Ada" sqref="F191" xr:uid="{00000000-0002-0000-0200-0000F4000000}">
      <formula1>"Ada, Tidak Ada"</formula1>
    </dataValidation>
    <dataValidation type="list" allowBlank="1" showInputMessage="1" showErrorMessage="1" promptTitle="Terdapat Wisata Pantai" prompt="Ada_x000a_Tidak Ada" sqref="F182" xr:uid="{00000000-0002-0000-0200-0000F5000000}">
      <formula1>"Ada, Tidak Ada"</formula1>
    </dataValidation>
    <dataValidation type="list" allowBlank="1" showInputMessage="1" showErrorMessage="1" promptTitle="Desa Tanggap Budaya" prompt="Ya_x000a_Tidak" sqref="F177" xr:uid="{00000000-0002-0000-0200-0000F6000000}">
      <formula1>"Ya, Tidak"</formula1>
    </dataValidation>
    <dataValidation type="list" allowBlank="1" showInputMessage="1" showErrorMessage="1" promptTitle="Desa Peduli Perlindungan Sosial" prompt="Ya_x000a_Tidak" sqref="F176" xr:uid="{00000000-0002-0000-0200-0000F7000000}">
      <formula1>"Ya, Tidak"</formula1>
    </dataValidation>
    <dataValidation type="list" allowBlank="1" showInputMessage="1" showErrorMessage="1" promptTitle="Desa Peduli Keluarga" prompt="Ya_x000a_Tidak" sqref="F175" xr:uid="{00000000-0002-0000-0200-0000F8000000}">
      <formula1>"Ya, Tidak"</formula1>
    </dataValidation>
    <dataValidation type="list" allowBlank="1" showInputMessage="1" showErrorMessage="1" promptTitle="Desa Peduli Kesehatan" prompt="Ya_x000a_Tidak" sqref="F174" xr:uid="{00000000-0002-0000-0200-0000F9000000}">
      <formula1>"Ya, Tidak"</formula1>
    </dataValidation>
    <dataValidation type="list" allowBlank="1" showInputMessage="1" showErrorMessage="1" promptTitle="Desa Cerdas" prompt="Ya_x000a_Tidak" sqref="F173" xr:uid="{00000000-0002-0000-0200-0000FA000000}">
      <formula1>"Ya, Tidak"</formula1>
    </dataValidation>
    <dataValidation type="list" allowBlank="1" showInputMessage="1" showErrorMessage="1" promptTitle="Kampung KB" prompt="Ya_x000a_Tidak" sqref="F172" xr:uid="{00000000-0002-0000-0200-0000FB000000}">
      <formula1>"Ya, Tidak"</formula1>
    </dataValidation>
    <dataValidation type="list" allowBlank="1" showInputMessage="1" showErrorMessage="1" promptTitle="Ramah Perempuan &amp; Peduli Anak" prompt="Ya_x000a_Tidak" sqref="F171" xr:uid="{00000000-0002-0000-0200-0000FC000000}">
      <formula1>"Ya, Tidak"</formula1>
    </dataValidation>
    <dataValidation type="list" allowBlank="1" showInputMessage="1" showErrorMessage="1" promptTitle="Desa Bersih Narkoba" prompt="Ya_x000a_Tidak" sqref="F170" xr:uid="{00000000-0002-0000-0200-0000FD000000}">
      <formula1>"Ya, Tidak"</formula1>
    </dataValidation>
    <dataValidation type="list" allowBlank="1" showInputMessage="1" showErrorMessage="1" promptTitle="Terdapat Wisata Budaya Lainnya" prompt="Ada_x000a_Tidak Ada" sqref="F328" xr:uid="{00000000-0002-0000-0200-0000FE000000}">
      <formula1>"Ada, Tidak Ada"</formula1>
    </dataValidation>
    <dataValidation type="textLength" showInputMessage="1" showErrorMessage="1" promptTitle="Desa Model Lainnya" prompt="Sebutkan_x000a_Jika Tidak Ada diisi &quot; - &quot;" sqref="F178" xr:uid="{00000000-0002-0000-0200-0000FF000000}">
      <formula1>1</formula1>
      <formula2>50</formula2>
    </dataValidation>
    <dataValidation type="list" showInputMessage="1" showErrorMessage="1" promptTitle="Pihak ke-3 dlm Proses PPMD" prompt="Ada_x000a_Tidak Ada" sqref="F115" xr:uid="{00000000-0002-0000-0200-000000010000}">
      <formula1>"Ada, Tidak Ada"</formula1>
    </dataValidation>
    <dataValidation type="textLength" showInputMessage="1" showErrorMessage="1" error="maksimal terisi 250 karakter" promptTitle="Ket Perjalanan Desa ke Gubernur" prompt="Contoh:_x000a_Menggunakan Kapal Penyebrangan, dilanjutkan kendaraan Bus Kemudian menggunakan kendaraan umum di Provinsi" sqref="F1416" xr:uid="{00000000-0002-0000-0200-000001010000}">
      <formula1>5</formula1>
      <formula2>350</formula2>
    </dataValidation>
    <dataValidation type="textLength" showInputMessage="1" showErrorMessage="1" error="maksimal terisi 250 karakter" promptTitle="Ket Pjalanan Desa ke Bupati/Wali" prompt="Contoh:_x000a_Menggunakan Kapal Penyebrangan dan dilanjutkan kendaraan umum di Kabupaten" sqref="F1411" xr:uid="{00000000-0002-0000-0200-000002010000}">
      <formula1>5</formula1>
      <formula2>250</formula2>
    </dataValidation>
    <dataValidation type="textLength" showInputMessage="1" showErrorMessage="1" error="maksimal terisi 250 karakter" promptTitle="Ket Perjalanan Desa ke Ktr Camat" prompt="Contoh:_x000a_Hanya melalui jalur darat dengan 1 kali kendaraan umum" sqref="F1406" xr:uid="{00000000-0002-0000-0200-000003010000}">
      <formula1>5</formula1>
      <formula2>250</formula2>
    </dataValidation>
    <dataValidation type="whole" showInputMessage="1" showErrorMessage="1" promptTitle="Biaya Perjalanan Desa ke Camat" prompt="Biaya yang dikeluarkan untuk Transportasi Dari kantor Desa Ke Kantor Kecamatan" sqref="F1405" xr:uid="{00000000-0002-0000-0200-000004010000}">
      <formula1>0</formula1>
      <formula2>1000000</formula2>
    </dataValidation>
    <dataValidation type="whole" showInputMessage="1" showErrorMessage="1" promptTitle="Jrk Ktr Desa ke Kantor Gubernur" prompt="Jarak Diukur dari Kantor Desa ke Kantor Gubernur" sqref="F1413" xr:uid="{00000000-0002-0000-0200-000005010000}">
      <formula1>0</formula1>
      <formula2>300000</formula2>
    </dataValidation>
    <dataValidation operator="greaterThanOrEqual" allowBlank="1" showInputMessage="1" showErrorMessage="1" promptTitle="TOTAL APBDES TAHUN 2025" prompt="Sudah Terhitung secara Otomatis" sqref="F1391" xr:uid="{00000000-0002-0000-0200-000006010000}"/>
    <dataValidation operator="greaterThanOrEqual" allowBlank="1" showInputMessage="1" showErrorMessage="1" promptTitle="TOTAL APBDES TAHUN 2024" prompt="Sudah Terhitung secara Otomatis" sqref="F1390" xr:uid="{00000000-0002-0000-0200-000007010000}"/>
    <dataValidation allowBlank="1" showInputMessage="1" showErrorMessage="1" promptTitle="Memperingati Hari Jadi Desa" prompt=" " sqref="F93" xr:uid="{00000000-0002-0000-0200-000008010000}"/>
    <dataValidation type="list" allowBlank="1" showInputMessage="1" showErrorMessage="1" promptTitle="Terdapat Gudang Milik Pemerintah" prompt="Ada_x000a_Tidak Ada" sqref="F1181" xr:uid="{00000000-0002-0000-0200-000009010000}">
      <formula1>"Ada, Tidak Ada"</formula1>
    </dataValidation>
    <dataValidation type="list" allowBlank="1" showInputMessage="1" showErrorMessage="1" promptTitle="Terdapat Gudang Milik Swasta" prompt="Ada_x000a_Tidak Ada" sqref="F1178" xr:uid="{00000000-0002-0000-0200-00000A010000}">
      <formula1>"Ada, Tidak Ada"</formula1>
    </dataValidation>
    <dataValidation type="list" allowBlank="1" showInputMessage="1" showErrorMessage="1" promptTitle="Terdapat Gudang Pribadi" prompt="Ada_x000a_Tidak Ada" sqref="F1175" xr:uid="{00000000-0002-0000-0200-00000B010000}">
      <formula1>"Ada, Tidak Ada"</formula1>
    </dataValidation>
    <dataValidation type="whole" operator="greaterThanOrEqual" allowBlank="1" showInputMessage="1" showErrorMessage="1" promptTitle="Terhitung Secara Otomatis" prompt=" " sqref="F1255" xr:uid="{00000000-0002-0000-0200-00000C010000}">
      <formula1>0</formula1>
    </dataValidation>
    <dataValidation type="list" allowBlank="1" showInputMessage="1" showErrorMessage="1" promptTitle="Produk Unggulan Obat Lainnya" prompt="Ada_x000a_Tidak Ada" sqref="F980" xr:uid="{00000000-0002-0000-0200-00000D010000}">
      <formula1>"Ada, Tidak Ada"</formula1>
    </dataValidation>
    <dataValidation type="list" allowBlank="1" showInputMessage="1" showErrorMessage="1" promptTitle="Terdapat Produk Unggulan Sukun" prompt="Ada_x000a_Tidak Ada" sqref="F816" xr:uid="{00000000-0002-0000-0200-00000E010000}">
      <formula1>"Ada, Tidak Ada"</formula1>
    </dataValidation>
    <dataValidation type="list" allowBlank="1" showInputMessage="1" showErrorMessage="1" promptTitle="Terdapat Produk Unggulan Gandum" prompt="Ada_x000a_Tidak Ada" sqref="F814" xr:uid="{00000000-0002-0000-0200-00000F010000}">
      <formula1>"Ada, Tidak Ada"</formula1>
    </dataValidation>
    <dataValidation type="list" allowBlank="1" showInputMessage="1" showErrorMessage="1" promptTitle="Terdapat Produk Unggulan Sagu" prompt="Ada_x000a_Tidak Ada" sqref="F812" xr:uid="{00000000-0002-0000-0200-000010010000}">
      <formula1>"Ada, Tidak Ada"</formula1>
    </dataValidation>
    <dataValidation type="list" allowBlank="1" showInputMessage="1" showErrorMessage="1" promptTitle="Terdapat Produk Unggulan Sorgum" prompt="Ada_x000a_Tidak Ada" sqref="F810" xr:uid="{00000000-0002-0000-0200-000011010000}">
      <formula1>"Ada, Tidak Ada"</formula1>
    </dataValidation>
    <dataValidation type="list" allowBlank="1" showInputMessage="1" showErrorMessage="1" promptTitle="Terdapat Produk Unggulan Wortel" prompt="Ada_x000a_Tidak Ada" sqref="F808" xr:uid="{00000000-0002-0000-0200-000012010000}">
      <formula1>"Ada, Tidak Ada"</formula1>
    </dataValidation>
    <dataValidation type="list" allowBlank="1" showInputMessage="1" showErrorMessage="1" promptTitle="Terdapat Produk Unggulan Kentang" prompt="Ada_x000a_Tidak Ada" sqref="F806" xr:uid="{00000000-0002-0000-0200-000013010000}">
      <formula1>"Ada, Tidak Ada"</formula1>
    </dataValidation>
    <dataValidation type="list" allowBlank="1" showInputMessage="1" showErrorMessage="1" promptTitle="Terdapat Produk Unggulan Merica" prompt="Ada_x000a_Tidak Ada" sqref="F804" xr:uid="{00000000-0002-0000-0200-000014010000}">
      <formula1>"Ada, Tidak Ada"</formula1>
    </dataValidation>
    <dataValidation type="list" allowBlank="1" showInputMessage="1" showErrorMessage="1" promptTitle="Terdapat Produk Unggulan Talas" prompt="Ada_x000a_Tidak Ada" sqref="F802" xr:uid="{00000000-0002-0000-0200-000015010000}">
      <formula1>"Ada, Tidak Ada"</formula1>
    </dataValidation>
    <dataValidation type="list" allowBlank="1" showInputMessage="1" showErrorMessage="1" promptTitle="Terdapat Produk Unggulan Jengkol" prompt="Ada_x000a_Tidak Ada" sqref="F800" xr:uid="{00000000-0002-0000-0200-000016010000}">
      <formula1>"Ada, Tidak Ada"</formula1>
    </dataValidation>
    <dataValidation type="list" allowBlank="1" showInputMessage="1" showErrorMessage="1" promptTitle="Terdapat Produk Unggulan Pete" prompt="Ada_x000a_Tidak Ada" sqref="F798" xr:uid="{00000000-0002-0000-0200-000017010000}">
      <formula1>"Ada, Tidak Ada"</formula1>
    </dataValidation>
    <dataValidation type="list" allowBlank="1" showInputMessage="1" showErrorMessage="1" promptTitle="Terdapat Produk Unggulan Melinjo" prompt="Ada_x000a_Tidak Ada" sqref="F796" xr:uid="{00000000-0002-0000-0200-000018010000}">
      <formula1>"Ada, Tidak Ada"</formula1>
    </dataValidation>
    <dataValidation type="list" allowBlank="1" showInputMessage="1" showErrorMessage="1" promptTitle="T'dapat Produk Unggulan Ubi Kayu" prompt="Ada_x000a_Tidak Ada" sqref="F794" xr:uid="{00000000-0002-0000-0200-000019010000}">
      <formula1>"Ada, Tidak Ada"</formula1>
    </dataValidation>
    <dataValidation type="list" allowBlank="1" showInputMessage="1" showErrorMessage="1" promptTitle="Produk Unggulan Ubi Jalar" prompt="Ada_x000a_Tidak Ada" sqref="F792" xr:uid="{00000000-0002-0000-0200-00001A010000}">
      <formula1>"Ada, Tidak Ada"</formula1>
    </dataValidation>
    <dataValidation type="list" allowBlank="1" showInputMessage="1" showErrorMessage="1" promptTitle="Produk Unggulan Kacang Hijau" prompt="Ada_x000a_Tidak Ada" sqref="F790" xr:uid="{00000000-0002-0000-0200-00001B010000}">
      <formula1>"Ada, Tidak Ada"</formula1>
    </dataValidation>
    <dataValidation type="list" allowBlank="1" showInputMessage="1" showErrorMessage="1" promptTitle="Produk Unggulan Kacang Tanah" prompt="Ada_x000a_Tidak Ada" sqref="F788" xr:uid="{00000000-0002-0000-0200-00001C010000}">
      <formula1>"Ada, Tidak Ada"</formula1>
    </dataValidation>
    <dataValidation type="list" allowBlank="1" showInputMessage="1" showErrorMessage="1" promptTitle="Terdapat Produk Unggulan Kedelai" prompt="Ada_x000a_Tidak Ada" sqref="F786" xr:uid="{00000000-0002-0000-0200-00001D010000}">
      <formula1>"Ada, Tidak Ada"</formula1>
    </dataValidation>
    <dataValidation type="list" showInputMessage="1" showErrorMessage="1" promptTitle="Terdapat Produk Unggulan Jagung" prompt="Ada_x000a_Tidak Ada" sqref="F784" xr:uid="{00000000-0002-0000-0200-00001E010000}">
      <formula1>"Ada, Tidak Ada"</formula1>
    </dataValidation>
    <dataValidation type="list" showInputMessage="1" showErrorMessage="1" promptTitle="Terdapat Produk Unggulan Padi" prompt="Ada_x000a_Tidak Ada" sqref="F782" xr:uid="{00000000-0002-0000-0200-00001F010000}">
      <formula1>"Ada, Tidak Ada"</formula1>
    </dataValidation>
    <dataValidation allowBlank="1" showInputMessage="1" showErrorMessage="1" promptTitle="Jlh Energi Terbarukan dipakai" prompt="Terhitung Secata Otomatis" sqref="F633:F634" xr:uid="{00000000-0002-0000-0200-000020010000}"/>
    <dataValidation type="decimal" showInputMessage="1" showErrorMessage="1" promptTitle="Rata-rata Pendidikan SMA" prompt="diisi 3.00 tahun hingga 5.00 Tahun_x000a_cth: 3.1 , 3.4 , 4.5" sqref="F509" xr:uid="{00000000-0002-0000-0200-000021010000}">
      <formula1>3</formula1>
      <formula2>5</formula2>
    </dataValidation>
    <dataValidation type="whole" operator="greaterThanOrEqual" allowBlank="1" showInputMessage="1" showErrorMessage="1" promptTitle="Jumlah Pekerjaan PBK" prompt="Jumlah Pekerja Penyandang Kebutuhan Khusus Perempuan_x000a_(Tergitung Secara Otomatis)" sqref="F497" xr:uid="{00000000-0002-0000-0200-000022010000}">
      <formula1>0</formula1>
    </dataValidation>
    <dataValidation type="list" allowBlank="1" showInputMessage="1" showErrorMessage="1" promptTitle="Terdapat Perkebunan Lainnya" prompt="Ada_x000a_Tidak Ada" sqref="F452" xr:uid="{00000000-0002-0000-0200-000023010000}">
      <formula1>"Ada, Tidak Ada"</formula1>
    </dataValidation>
    <dataValidation type="list" allowBlank="1" showInputMessage="1" showErrorMessage="1" promptTitle="Terdapat Perkebunan Tembakau" prompt="Ada_x000a_Tidak Ada" sqref="F447" xr:uid="{00000000-0002-0000-0200-000024010000}">
      <formula1>"Ada, Tidak Ada"</formula1>
    </dataValidation>
    <dataValidation type="list" allowBlank="1" showInputMessage="1" showErrorMessage="1" promptTitle="Terdapat Perkebunan Tebu" prompt="Ada_x000a_Tidak Ada" sqref="F442" xr:uid="{00000000-0002-0000-0200-000025010000}">
      <formula1>"Ada, Tidak Ada"</formula1>
    </dataValidation>
    <dataValidation type="list" allowBlank="1" showInputMessage="1" showErrorMessage="1" promptTitle="Terdapat Perkebunan Kina" prompt="Ada_x000a_Tidak Ada" sqref="F437" xr:uid="{00000000-0002-0000-0200-000026010000}">
      <formula1>"Ada, Tidak Ada"</formula1>
    </dataValidation>
    <dataValidation type="list" allowBlank="1" showInputMessage="1" showErrorMessage="1" promptTitle="Terdapat Perkebunan Teh" prompt="Ada_x000a_Tidak Ada" sqref="F432" xr:uid="{00000000-0002-0000-0200-000027010000}">
      <formula1>"Ada, Tidak Ada"</formula1>
    </dataValidation>
    <dataValidation type="list" allowBlank="1" showInputMessage="1" showErrorMessage="1" promptTitle="Terdapat Perkebunan Kopi" prompt="Ada_x000a_Tidak Ada" sqref="F427" xr:uid="{00000000-0002-0000-0200-000028010000}">
      <formula1>"Ada, Tidak Ada"</formula1>
    </dataValidation>
    <dataValidation type="list" allowBlank="1" showInputMessage="1" showErrorMessage="1" promptTitle="Terdapat Perkebunan Kakao" prompt="Ada_x000a_Tidak Ada" sqref="F422" xr:uid="{00000000-0002-0000-0200-000029010000}">
      <formula1>"Ada, Tidak Ada"</formula1>
    </dataValidation>
    <dataValidation type="list" allowBlank="1" showInputMessage="1" showErrorMessage="1" promptTitle="Terdapat Perkebunan Klp Sawit" prompt="Ada_x000a_Tidak Ada" sqref="F417" xr:uid="{00000000-0002-0000-0200-00002A010000}">
      <formula1>"Ada, Tidak Ada"</formula1>
    </dataValidation>
    <dataValidation type="list" allowBlank="1" showInputMessage="1" showErrorMessage="1" promptTitle="Terdapat Kawasan Tambang di Desa" prompt="Ada_x000a_Tidak Ada" sqref="F343" xr:uid="{00000000-0002-0000-0200-00002B010000}">
      <formula1>"Ada, Tidak Ada"</formula1>
    </dataValidation>
    <dataValidation type="list" showInputMessage="1" showErrorMessage="1" promptTitle="Desa Berbatasan lansung dgn Laut" prompt="Iya_x000a_Tidak" sqref="F459" xr:uid="{00000000-0002-0000-0200-00002C010000}">
      <formula1>"Iya, Tidak"</formula1>
    </dataValidation>
    <dataValidation type="list" allowBlank="1" showInputMessage="1" showErrorMessage="1" promptTitle="Terdapat Perkebunan Karet" prompt="Ada_x000a_Tidak Ada" sqref="F412" xr:uid="{00000000-0002-0000-0200-00002D010000}">
      <formula1>"Ada, Tidak Ada"</formula1>
    </dataValidation>
    <dataValidation type="list" showInputMessage="1" showErrorMessage="1" promptTitle="Terdapat Kaur Perencanaan" prompt="Ada_x000a_Tidak Ada" sqref="F29" xr:uid="{00000000-0002-0000-0200-00002E010000}">
      <formula1>"Ada, Tidak Ada"</formula1>
    </dataValidation>
    <dataValidation type="list" showInputMessage="1" showErrorMessage="1" promptTitle="Terdapat Kaur Keuangan" prompt="Ada_x000a_Tidak Ada" sqref="F26" xr:uid="{00000000-0002-0000-0200-00002F010000}">
      <formula1>"Ada, Tidak Ada"</formula1>
    </dataValidation>
    <dataValidation type="list" showInputMessage="1" showErrorMessage="1" promptTitle="Terdapat Kaur TU &amp; Umum di Desa" prompt="Ada_x000a_Tidak Ada" sqref="F23" xr:uid="{00000000-0002-0000-0200-000030010000}">
      <formula1>"Ada, Tidak Ada"</formula1>
    </dataValidation>
    <dataValidation type="list" showInputMessage="1" showErrorMessage="1" promptTitle="Terdapat Kasi Pelayanan" prompt="Ada_x000a_Tidak Ada" sqref="F19" xr:uid="{00000000-0002-0000-0200-000031010000}">
      <formula1>"Ada, Tidak Ada"</formula1>
    </dataValidation>
    <dataValidation type="list" showInputMessage="1" showErrorMessage="1" promptTitle="Terdapat Kasi Kesejahteraan" prompt="Ada_x000a_Tidak Ada" sqref="F16" xr:uid="{00000000-0002-0000-0200-000032010000}">
      <formula1>"Ada, Tidak Ada"</formula1>
    </dataValidation>
    <dataValidation type="list" showInputMessage="1" showErrorMessage="1" promptTitle="Terdapat Kasi Pemerintahan" prompt="Ada_x000a_Tidak Ada" sqref="F13" xr:uid="{00000000-0002-0000-0200-000033010000}">
      <formula1>"Ada, Tidak Ada"</formula1>
    </dataValidation>
    <dataValidation type="textLength" showInputMessage="1" showErrorMessage="1" promptTitle="Nama Lengkap Sekdes" prompt=" " sqref="F7" xr:uid="{00000000-0002-0000-0200-000034010000}">
      <formula1>1</formula1>
      <formula2>IF(OR(F6="",F6="Tidak ada"),1,30)</formula2>
    </dataValidation>
    <dataValidation type="list" showInputMessage="1" showErrorMessage="1" promptTitle="Terdapat Kawasan Hutan" prompt="Ada_x000a_Tidak Ada" sqref="F338" xr:uid="{00000000-0002-0000-0200-000035010000}">
      <formula1>"Ada, Tidak Ada"</formula1>
    </dataValidation>
    <dataValidation type="list" showInputMessage="1" showErrorMessage="1" promptTitle="Terdapat Sekdes" prompt="Ada_x000a_Tidak Ada" sqref="F6" xr:uid="{00000000-0002-0000-0200-000036010000}">
      <formula1>"Ada, Tidak Ada"</formula1>
    </dataValidation>
    <dataValidation type="list" showInputMessage="1" showErrorMessage="1" promptTitle="PMKS Pekerja Migran Terlantar" prompt="Ada_x000a_Tidak Ada" sqref="F775" xr:uid="{00000000-0002-0000-0200-000037010000}">
      <formula1>"Ada, Tidak Ada"</formula1>
    </dataValidation>
    <dataValidation type="list" showInputMessage="1" showErrorMessage="1" promptTitle="Penyelesaian Konflik Sesuai Adat" prompt="Ada_x000a_Tidak Ada" sqref="F735" xr:uid="{00000000-0002-0000-0200-000038010000}">
      <formula1>"Ada, Tidak Ada"</formula1>
    </dataValidation>
    <dataValidation type="whole" showInputMessage="1" showErrorMessage="1" promptTitle="Rata2 Lama Pendidikan SMP/MTs" prompt="diisi 3.00 tahun hingga 5.00 Tahun_x000a_cth: 3.1 , 3.4 , 4.5" sqref="F505" xr:uid="{00000000-0002-0000-0200-000039010000}">
      <formula1>3</formula1>
      <formula2>5</formula2>
    </dataValidation>
    <dataValidation type="list" showInputMessage="1" showErrorMessage="1" promptTitle="Terdapat Kejahatan Perjudian" prompt="Ada_x000a_Tidak Ada" sqref="F742" xr:uid="{00000000-0002-0000-0200-00003A010000}">
      <formula1>"Ada, Tidak Ada"</formula1>
    </dataValidation>
    <dataValidation type="whole" showInputMessage="1" showErrorMessage="1" promptTitle="Jarak Pustu Terdekat" prompt="(Meter)" sqref="F554" xr:uid="{00000000-0002-0000-0200-00003B010000}">
      <formula1>0</formula1>
      <formula2>100000</formula2>
    </dataValidation>
    <dataValidation type="list" showInputMessage="1" showErrorMessage="1" promptTitle="Sebagaian Besar Warga BAB" prompt="Jamban Sendiri_x000a_Jamban Bersama_x000a_Jamban Umum_x000a_Bukan Jamban" sqref="F582" xr:uid="{00000000-0002-0000-0200-00003C010000}">
      <formula1>"Jamban Sendiri, Jamban Bersama, Jamban Umum, Bukan Jamban"</formula1>
    </dataValidation>
    <dataValidation type="whole" operator="greaterThanOrEqual" allowBlank="1" showInputMessage="1" showErrorMessage="1" promptTitle="Total BPD dan Anggota" prompt="BPD dan Anggota Perempuan_x000a_(Terisi dari Unggah Template Staf Petugas Desa dan Lembaga Kemasayarakatan Desa)" sqref="F35" xr:uid="{00000000-0002-0000-0200-00003D010000}">
      <formula1>0</formula1>
    </dataValidation>
    <dataValidation type="list" showInputMessage="1" showErrorMessage="1" promptTitle="Ketersedian Ruang Publik di Desa" prompt="Ada_x000a_Tidak Ada" sqref="F753" xr:uid="{00000000-0002-0000-0200-00003E010000}">
      <formula1>"Ada, Tidak Ada"</formula1>
    </dataValidation>
    <dataValidation type="list" showInputMessage="1" showErrorMessage="1" promptTitle="Cara Mendapatkan Air Minum" prompt="Membeli_x000a_Gratis_x000a_" sqref="F608" xr:uid="{00000000-0002-0000-0200-00003F010000}">
      <formula1>"Membeli, Gtaris"</formula1>
    </dataValidation>
    <dataValidation type="list" showInputMessage="1" showErrorMessage="1" promptTitle="Kehadiran Warga Acara Kelahiran" prompt="Ada_x000a_Tidak Ada" sqref="F712" xr:uid="{00000000-0002-0000-0200-000040010000}">
      <formula1>"Ada, Tidak Ada"</formula1>
    </dataValidation>
    <dataValidation type="whole" showInputMessage="1" showErrorMessage="1" promptTitle="Pajak dan Retribusi Tahun 2024" prompt=" " sqref="F1381" xr:uid="{00000000-0002-0000-0200-000041010000}">
      <formula1>0</formula1>
      <formula2>2000000000</formula2>
    </dataValidation>
    <dataValidation type="list" showInputMessage="1" showErrorMessage="1" promptTitle="Sumber Air untuk Mandi dan Cuci" prompt="Sumber Air Lainnya_x000a_Ada_x000a_Tidak Ada" sqref="F616" xr:uid="{00000000-0002-0000-0200-000042010000}">
      <formula1>"Ada, Tidak Ada"</formula1>
    </dataValidation>
    <dataValidation type="whole" showInputMessage="1" showErrorMessage="1" promptTitle="Jlh Tunadaksa Perempuan" prompt=" " sqref="F764" xr:uid="{00000000-0002-0000-0200-000043010000}">
      <formula1>0</formula1>
      <formula2>25</formula2>
    </dataValidation>
    <dataValidation type="list" showInputMessage="1" showErrorMessage="1" promptTitle="Koperasi aktif" prompt="Jumlah koperasi aktif beroperasi (unit)_x000a_" sqref="F1185" xr:uid="{00000000-0002-0000-0200-000044010000}">
      <formula1>"0,1,2,3,4,5"</formula1>
    </dataValidation>
    <dataValidation type="whole" operator="greaterThanOrEqual" allowBlank="1" showInputMessage="1" showErrorMessage="1" promptTitle="Total Ketua RW" prompt="Ketua RW Laki-Laki_x000a_(Terisi dari Unggah Template Staf Petugas Desa dan Lembaga Kemasayarakatan Desa)" sqref="F44" xr:uid="{00000000-0002-0000-0200-000045010000}">
      <formula1>0</formula1>
    </dataValidation>
    <dataValidation type="list" showInputMessage="1" showErrorMessage="1" promptTitle="Terdapat Kejahatan Pembakaran" prompt="Ada_x000a_Tidak Ada" sqref="F739" xr:uid="{00000000-0002-0000-0200-000046010000}">
      <formula1>"Ada, Tidak Ada"</formula1>
    </dataValidation>
    <dataValidation type="whole" showInputMessage="1" showErrorMessage="1" promptTitle="PAD Tahun 2025" prompt=" " sqref="F1376" xr:uid="{00000000-0002-0000-0200-000047010000}">
      <formula1>0</formula1>
      <formula2>50000000000</formula2>
    </dataValidation>
    <dataValidation type="list" showInputMessage="1" showErrorMessage="1" promptTitle="Kerjasama Dengan Pihak Ketiga" prompt="Ada_x000a_Tidak Ada" sqref="F1015" xr:uid="{00000000-0002-0000-0200-000048010000}">
      <formula1>"Ada, Tidak Ada"</formula1>
    </dataValidation>
    <dataValidation type="list" operator="lessThanOrEqual" showInputMessage="1" showErrorMessage="1" promptTitle="Terdapat Gereja Kristen" prompt="Ada_x000a_Tidak Ada" sqref="F702" xr:uid="{00000000-0002-0000-0200-000049010000}">
      <formula1>"Ada, Tidak Ada"</formula1>
    </dataValidation>
    <dataValidation type="list" showInputMessage="1" showErrorMessage="1" promptTitle="Adanya Warga Beragama Islam" prompt="Ada_x000a_Tidak Ada" sqref="F693" xr:uid="{00000000-0002-0000-0200-00004A010000}">
      <formula1>"Ada, Tidak Ada"</formula1>
    </dataValidation>
    <dataValidation type="whole" showInputMessage="1" showErrorMessage="1" promptTitle="Jrk Desa ke ktr Bupati/Walikota" prompt="Jarak Diukur dari Kantor Desa ke Kantor Bupati/ Walikota" sqref="F1408" xr:uid="{00000000-0002-0000-0200-00004B010000}">
      <formula1>0</formula1>
      <formula2>250000</formula2>
    </dataValidation>
    <dataValidation type="whole" showInputMessage="1" showErrorMessage="1" promptTitle="Jlh Disabilitas Kecelakaan" prompt=" " sqref="F766" xr:uid="{00000000-0002-0000-0200-00004C010000}">
      <formula1>0</formula1>
      <formula2>25</formula2>
    </dataValidation>
    <dataValidation type="list" showInputMessage="1" showErrorMessage="1" promptTitle="Tdpt Puskesmas Tanpa Rawat Ina" prompt="Ada_x000a_Tidak Ada_x000a_" sqref="F549" xr:uid="{00000000-0002-0000-0200-00004D010000}">
      <formula1>"Ada, Tidak Ada"</formula1>
    </dataValidation>
    <dataValidation type="list" showInputMessage="1" showErrorMessage="1" promptTitle="Dampak Pencemaran Lingkungan" prompt="-Tidak Mempengaruhi Kesehatan_x000a_-Menyebabkan Gangguan Kesehatan Ringan_x000a_-Menimbulkan Penyakit/ Infeksi_x000a_-Menimbulkan Kematian" sqref="F1267" xr:uid="{00000000-0002-0000-0200-00004E010000}">
      <formula1>"Tidak Mempengaruhi Kesehatan, Menyebabkan Gangguan Kesehatan Ringan, Menimbulkan Penyakit/ Infeksi, Menimbulkan Kematian"</formula1>
    </dataValidation>
    <dataValidation type="list" showInputMessage="1" showErrorMessage="1" promptTitle="Ketersediaan Sumber Air di Desa" prompt="1: Ya, Sepanjang Tahun_x000a_2: Ya, Kecuali Saat Tertentu Seperti Kemarau atau Kondisi Lainnya_x000a_3: Tidak Tersedia Sumber Air" sqref="F588" xr:uid="{00000000-0002-0000-0200-00004F010000}">
      <formula1>"1,2,3"</formula1>
    </dataValidation>
    <dataValidation type="list" operator="lessThanOrEqual" showInputMessage="1" showErrorMessage="1" promptTitle="Terdapat Litang/ Kelenteng" prompt="Ada_x000a_Tidak Ada" sqref="F706" xr:uid="{00000000-0002-0000-0200-000050010000}">
      <formula1>"Ada, Tidak Ada"</formula1>
    </dataValidation>
    <dataValidation type="list" showInputMessage="1" showErrorMessage="1" promptTitle="Sumber Air untuk Mandi dan Cuci" prompt="Air Sungai/ Danau/ Kolam_x000a_Ada_x000a_Tidak Ada" sqref="F614" xr:uid="{00000000-0002-0000-0200-000051010000}">
      <formula1>"Ada, Tidak Ada"</formula1>
    </dataValidation>
    <dataValidation type="whole" operator="greaterThanOrEqual" allowBlank="1" showInputMessage="1" showErrorMessage="1" promptTitle="Total Ketua RT" prompt="Ketua RT Perempuan_x000a_(Terisi dari Unggah Template Staf Petugas Desa dan Lembaga Kemasayarakatan Desa)" sqref="F47" xr:uid="{00000000-0002-0000-0200-000052010000}">
      <formula1>0</formula1>
    </dataValidation>
    <dataValidation type="list" showInputMessage="1" showErrorMessage="1" promptTitle="Adanya Warga Beragama Buddha" prompt="Ada_x000a_Tidak Ada" sqref="F696" xr:uid="{00000000-0002-0000-0200-000053010000}">
      <formula1>"Ada, Tidak Ada"</formula1>
    </dataValidation>
    <dataValidation type="list" showInputMessage="1" showErrorMessage="1" promptTitle="Sumber Pangan diKonsumsi" prompt="Beras, Jagung, Sagu, Singkong daan Umbi-Umbian, Pisang" sqref="F983" xr:uid="{00000000-0002-0000-0200-000054010000}">
      <formula1>"Beras, Jagung, Sagu, Singkong dan Umbi-Umbian, Pisang"</formula1>
    </dataValidation>
    <dataValidation type="list" allowBlank="1" showInputMessage="1" showErrorMessage="1" promptTitle="Terdapat Bangunan Balai Desa" prompt="Ada_x000a_Tidak Ada" sqref="F1393" xr:uid="{00000000-0002-0000-0200-000055010000}">
      <formula1>"Ada, Tidak Ada"</formula1>
    </dataValidation>
    <dataValidation type="list" showInputMessage="1" showErrorMessage="1" promptTitle="Tersedia Apotik" prompt="Ada_x000a_Tidak Ada_x000a__x000a_" sqref="F572" xr:uid="{00000000-0002-0000-0200-000056010000}">
      <formula1>"Ada, Tidak Ada"</formula1>
    </dataValidation>
    <dataValidation type="whole" showInputMessage="1" showErrorMessage="1" promptTitle="ADD Tahun 2024" prompt=" " sqref="F1383" xr:uid="{00000000-0002-0000-0200-000057010000}">
      <formula1>0</formula1>
      <formula2>2000000000</formula2>
    </dataValidation>
    <dataValidation type="whole" showInputMessage="1" showErrorMessage="1" promptTitle="Bantuan Provinsi Tahun 2024" prompt=" " sqref="F1385" xr:uid="{00000000-0002-0000-0200-000058010000}">
      <formula1>0</formula1>
      <formula2>100000000000</formula2>
    </dataValidation>
    <dataValidation type="whole" showInputMessage="1" showErrorMessage="1" promptTitle="Lain-lain Tahun 2024" prompt=" " sqref="F1389" xr:uid="{00000000-0002-0000-0200-000059010000}">
      <formula1>0</formula1>
      <formula2>50000000000</formula2>
    </dataValidation>
    <dataValidation type="list" showInputMessage="1" showErrorMessage="1" promptTitle="Bahan Bakar Memasak" prompt="1: Gas Kota_x000a_2: Biogas_x000a_3: LPG 3 Kg_x000a_4: LPG &gt;3 Kg_x000a_5: Batu Bara_x000a_6: Kriket_x000a_7: Minyak Tanah_x000a_8: Kayu Bakar_x000a_9: Lainnya " sqref="F1172" xr:uid="{00000000-0002-0000-0200-00005A010000}">
      <formula1>"0,1,2,3,4,5,6,7,8,9"</formula1>
    </dataValidation>
    <dataValidation type="whole" operator="greaterThanOrEqual" allowBlank="1" showInputMessage="1" showErrorMessage="1" promptTitle="Jlh KPMD Aktif" prompt="(Terisi dari Unggah Template KPMD Posyandu)" sqref="F90" xr:uid="{00000000-0002-0000-0200-00005B010000}">
      <formula1>0</formula1>
    </dataValidation>
    <dataValidation type="whole" operator="greaterThanOrEqual" allowBlank="1" showInputMessage="1" showErrorMessage="1" promptTitle="Total TP. PKK Desa" prompt="TP. PKK Desa Perempuan_x000a_(Terisi dari Unggah Template Staf Petugas Desa dan Lembaga Kemasayarakatan Desa)" sqref="F41" xr:uid="{00000000-0002-0000-0200-00005C010000}">
      <formula1>0</formula1>
    </dataValidation>
    <dataValidation type="list" operator="greaterThanOrEqual" showInputMessage="1" showErrorMessage="1" promptTitle="Mayoritas alat P'ternakan Desa" prompt="1. Kandang Ternak _x000a_2. Rumah Potong  Hewan_x000a_3. Pasar Hewan 4. Alat Penetas_x000a_5. Alat Pemerah 6. Alat P'motong/P'cabut Bulu_x000a_7. Alat Cacah 8. Alat Mixer_x000a_9. Manual 10. Alat Ternak Modern Lain;_x000a_11. Alat Ternak Tradisional Lain; _x000a_12. Bukan Desa Peternakan" sqref="F987" xr:uid="{00000000-0002-0000-0200-00005D010000}">
      <formula1>"1,2,3,4,5,6,7,8,9,10,11,12"</formula1>
    </dataValidation>
    <dataValidation type="list" showInputMessage="1" showErrorMessage="1" promptTitle="Perubahan penggunaan lahan" prompt="Terdapat perubahan penggunaan lahan dari sektor pertanian menjadi non-pertanian_x000a_Ada_x000a_Tidak Ada" sqref="F1269" xr:uid="{00000000-0002-0000-0200-00005E010000}">
      <formula1>"Ada, Tidak Ada"</formula1>
    </dataValidation>
    <dataValidation type="list" showInputMessage="1" showErrorMessage="1" promptTitle="Tersedia Rumah Sakit" prompt="Ada_x000a_Tidak Ada_x000a_" sqref="F537" xr:uid="{00000000-0002-0000-0200-00005F010000}">
      <formula1>"Ada, Tidak Ada"</formula1>
    </dataValidation>
    <dataValidation type="whole" operator="greaterThanOrEqual" allowBlank="1" showInputMessage="1" showErrorMessage="1" promptTitle="Total Kepala Dusun" prompt="Kepala Dusun Perempuan_x000a_(Terisi dari Unggah Template Staf Petugas Desa dan Lembaga Kemasayarakatan Desa)" sqref="F43" xr:uid="{00000000-0002-0000-0200-000060010000}">
      <formula1>0</formula1>
    </dataValidation>
    <dataValidation type="list" showInputMessage="1" showErrorMessage="1" promptTitle="Adanya PMKS Korban Kekeras" prompt="Ada_x000a_Tidak Ada" sqref="F772" xr:uid="{00000000-0002-0000-0200-000061010000}">
      <formula1>"Ada, Tidak Ada"</formula1>
    </dataValidation>
    <dataValidation type="whole" operator="greaterThanOrEqual" allowBlank="1" showInputMessage="1" showErrorMessage="1" promptTitle="Jumlah Staf Petugas Desa " prompt="Staf Petugas Desa Perempuan_x000a_(Terisi dari Unggah Template Staf Petugas Desa dan Lembaga Kemasayarakatan Desa)" sqref="F33" xr:uid="{00000000-0002-0000-0200-000062010000}">
      <formula1>0</formula1>
    </dataValidation>
    <dataValidation type="whole" operator="greaterThanOrEqual" allowBlank="1" showInputMessage="1" showErrorMessage="1" promptTitle="Jumlah Staf Petugas Desa" prompt="Staf Petugas Desa Laki-Laki_x000a_(Terisi dari Unggah Template Staf Petugas Desa dan Lembaga Kemasayarakatan Desa)" sqref="F32" xr:uid="{00000000-0002-0000-0200-000063010000}">
      <formula1>0</formula1>
    </dataValidation>
    <dataValidation type="whole" operator="greaterThanOrEqual" allowBlank="1" showInputMessage="1" showErrorMessage="1" promptTitle="Total TP. PKK Desa" prompt="TP. PKK Desa Laki-Laki_x000a_(Terisi dari Unggah Template Staf Petugas Desa dan Lembaga Kemasayarakatan Desa)" sqref="F40" xr:uid="{00000000-0002-0000-0200-000064010000}">
      <formula1>0</formula1>
    </dataValidation>
    <dataValidation type="list" showInputMessage="1" showErrorMessage="1" promptTitle="Terdapat Kejahatan Penipuan" prompt="Ada_x000a_Tidak Ada" sqref="F737" xr:uid="{00000000-0002-0000-0200-000065010000}">
      <formula1>"Ada, Tidak Ada"</formula1>
    </dataValidation>
    <dataValidation type="list" showInputMessage="1" showErrorMessage="1" promptTitle="Kehadiran Warga Acara Kematian" prompt="Ada_x000a_Tidak Ada" sqref="F713" xr:uid="{00000000-0002-0000-0200-000066010000}">
      <formula1>"Ada, Tidak Ada"</formula1>
    </dataValidation>
    <dataValidation type="list" showInputMessage="1" showErrorMessage="1" promptTitle="Ada tidaknya PKBM paket a/b/c" prompt="Ada_x000a_Tidak Ada" sqref="F525" xr:uid="{00000000-0002-0000-0200-000067010000}">
      <formula1>"Ada, Tiak Ada"</formula1>
    </dataValidation>
    <dataValidation type="list" showInputMessage="1" showErrorMessage="1" promptTitle="Adanya Warga Beragama Hindu" prompt="Ada_x000a_Tidak Ada" sqref="F697" xr:uid="{00000000-0002-0000-0200-000068010000}">
      <formula1>"Ada, Tidak Ada"</formula1>
    </dataValidation>
    <dataValidation type="list" showInputMessage="1" showErrorMessage="1" promptTitle="Tidak ada Mediator Peny Konflik" prompt="Ada_x000a_Tidak Ada" sqref="F734" xr:uid="{00000000-0002-0000-0200-000069010000}">
      <formula1>"Ada, Tidak Ada"</formula1>
    </dataValidation>
    <dataValidation type="list" showInputMessage="1" showErrorMessage="1" promptTitle="Pendampingan Desa" prompt="Ada_x000a_Tidak Ada" sqref="F97" xr:uid="{00000000-0002-0000-0200-00006A010000}">
      <formula1>"Ada, Tidak Ada"</formula1>
    </dataValidation>
    <dataValidation type="list" operator="greaterThanOrEqual" showInputMessage="1" showErrorMessage="1" promptTitle="Mayoritas alat P'Tanian di desa" prompt="1. Traktor 2. Penggiling Beras_x000a_3. Perontok Padi 4. Alat Tanam Benih Padi_x000a_5. Alat Panen Padi 6. Alat Tanam Jagung_x000a_7. Alat Tanam lain 8. Alat P'olah Tanah lain_x000a_9. Masih Manual 10. Alat Tani Modern Lain_x000a_11. Alat Tani Tradisional Lain_x000a_12. Bukan Desa Pertanian" sqref="F985" xr:uid="{00000000-0002-0000-0200-00006B010000}">
      <formula1>"1,2,3,4,5,6,7,8,9,10,11,12"</formula1>
    </dataValidation>
    <dataValidation type="whole" showInputMessage="1" showErrorMessage="1" promptTitle="Biaya Desa ke Bupati/Walikota" prompt="Biaya yang dikeluarkan untuk Transportasi Dari kantor Desa Ke Ke Kantor Bupati/Walikota" sqref="F1410" xr:uid="{00000000-0002-0000-0200-00006C010000}">
      <formula1>0</formula1>
      <formula2>2500000</formula2>
    </dataValidation>
    <dataValidation type="list" showInputMessage="1" showErrorMessage="1" promptTitle="Tersedia Rumah Sakit Bersalin" prompt="Ada_x000a_Tidak Ada_x000a_" sqref="F541" xr:uid="{00000000-0002-0000-0200-00006D010000}">
      <formula1>"Ada, Tidak Ada"</formula1>
    </dataValidation>
    <dataValidation type="list" allowBlank="1" showInputMessage="1" showErrorMessage="1" promptTitle="Mayoritas Agama di Desa" prompt="Islam_x000a_Kristen_x000a_Katolik_x000a_Budha_x000a_Hindu_x000a_Konghucu_x000a_Lainnya" sqref="F707" xr:uid="{00000000-0002-0000-0200-00006E010000}">
      <formula1>agama</formula1>
    </dataValidation>
    <dataValidation type="whole" showInputMessage="1" showErrorMessage="1" promptTitle="Pajak dan Retribusi Tahun 2025" prompt=" " sqref="F1380" xr:uid="{00000000-0002-0000-0200-00006F010000}">
      <formula1>0</formula1>
      <formula2>2000000000</formula2>
    </dataValidation>
    <dataValidation type="whole" showInputMessage="1" showErrorMessage="1" promptTitle="DD Tahun 2025" prompt=" " sqref="F1378" xr:uid="{00000000-0002-0000-0200-000070010000}">
      <formula1>0</formula1>
      <formula2>2000000000</formula2>
    </dataValidation>
    <dataValidation type="list" showInputMessage="1" showErrorMessage="1" promptTitle="Warga Desa Mengikuti MusDes" prompt="Tidak Ada_x000a_Ada" sqref="F73" xr:uid="{00000000-0002-0000-0200-000071010000}">
      <formula1>"Ada, Tidak Ada"</formula1>
    </dataValidation>
    <dataValidation type="whole" operator="notBetween" showInputMessage="1" showErrorMessage="1" promptTitle="Bantuan Kab/Kota Tahun 2025" prompt=" " sqref="F1386" xr:uid="{00000000-0002-0000-0200-000072010000}">
      <formula1>0</formula1>
      <formula2>50000000000</formula2>
    </dataValidation>
    <dataValidation type="whole" showInputMessage="1" showErrorMessage="1" promptTitle="Jarak Puskesmat Inap Terdekat" prompt="(Meter)" sqref="F546" xr:uid="{00000000-0002-0000-0200-000073010000}">
      <formula1>0</formula1>
      <formula2>100000</formula2>
    </dataValidation>
    <dataValidation type="whole" showInputMessage="1" showErrorMessage="1" promptTitle="Bantuan Provinsi Tahun 2025" prompt=" " sqref="F1384" xr:uid="{00000000-0002-0000-0200-000074010000}">
      <formula1>0</formula1>
      <formula2>100000000000</formula2>
    </dataValidation>
    <dataValidation type="whole" showInputMessage="1" showErrorMessage="1" promptTitle="Jlh Tunagrahita Perempuan" prompt=" " sqref="F756" xr:uid="{00000000-0002-0000-0200-000075010000}">
      <formula1>0</formula1>
      <formula2>25</formula2>
    </dataValidation>
    <dataValidation type="list" showInputMessage="1" showErrorMessage="1" promptTitle="Sumber Air untuk Mandi dan Cuci" prompt="Sumber Mata Air_x000a_Ada_x000a_Tidak Ada" sqref="F613" xr:uid="{00000000-0002-0000-0200-000076010000}">
      <formula1>"Ada, Tidak Ada"</formula1>
    </dataValidation>
    <dataValidation type="list" showInputMessage="1" showErrorMessage="1" promptTitle="Pemberantasan Buta Aksara" prompt="Ada_x000a_Tidak Ada" sqref="F526" xr:uid="{00000000-0002-0000-0200-000077010000}">
      <formula1>"Ada, Tidak Ada"</formula1>
    </dataValidation>
    <dataValidation showInputMessage="1" showErrorMessage="1" promptTitle="Ada Tidaknya Karang Taruna" prompt="LPM dan Anggota Laki-Laki_x000a_(Terisi dari Unggah Template Staf Petugas Desa dan Lembaga Kemasayarakatan Desa)" sqref="F38" xr:uid="{00000000-0002-0000-0200-000078010000}"/>
    <dataValidation type="list" showInputMessage="1" showErrorMessage="1" promptTitle="Peringatan Dini Tsunami" prompt="Terdapat fasilitas mitigasi bencana alam di Desa berupa sistem peringatan dini khusus tsunami_x000a_Ada_x000a_Tidak Ada" sqref="F1290" xr:uid="{00000000-0002-0000-0200-000079010000}">
      <formula1>"Ada, Tidak Ada"</formula1>
    </dataValidation>
    <dataValidation type="whole" showInputMessage="1" showErrorMessage="1" promptTitle="Poliklinik/Balai P'obatan Tdekat" prompt="(Meter)" sqref="F562" xr:uid="{00000000-0002-0000-0200-00007A010000}">
      <formula1>0</formula1>
      <formula2>100000</formula2>
    </dataValidation>
    <dataValidation type="whole" showInputMessage="1" showErrorMessage="1" promptTitle="Bantuan Kab/Kota Tahun 2024" prompt=" " sqref="F1387" xr:uid="{00000000-0002-0000-0200-00007B010000}">
      <formula1>0</formula1>
      <formula2>50000000000</formula2>
    </dataValidation>
    <dataValidation type="list" showInputMessage="1" showErrorMessage="1" promptTitle="Terdapat Kegiatan Poskamling" prompt="Ada_x000a_Tidak Ada" sqref="F746" xr:uid="{00000000-0002-0000-0200-00007C010000}">
      <formula1>"Ada, Tidak Ada"</formula1>
    </dataValidation>
    <dataValidation type="list" showInputMessage="1" showErrorMessage="1" promptTitle="Perencanaan Tata Ruang" prompt="Ada_x000a_Tidak Ada" sqref="F1268" xr:uid="{00000000-0002-0000-0200-00007D010000}">
      <formula1>"Ada, Tidak Ada"</formula1>
    </dataValidation>
    <dataValidation type="list" allowBlank="1" showInputMessage="1" showErrorMessage="1" promptTitle="Tdapat Kelompok/Lembaga Lainnya" prompt="Tidak Ada_x000a_Ada" sqref="F68" xr:uid="{00000000-0002-0000-0200-00007E010000}">
      <formula1>"Ada, Tidak Ada"</formula1>
    </dataValidation>
    <dataValidation type="list" showInputMessage="1" showErrorMessage="1" promptTitle="Sumber Air untuk Mandi dan Cuci" prompt="Sumber Air Ledeng dengan Meteran (PAM/PDAM)_x000a_Ada_x000a_Tidak Ada" sqref="F609" xr:uid="{00000000-0002-0000-0200-00007F010000}">
      <formula1>"Ada, Tidak Ada"</formula1>
    </dataValidation>
    <dataValidation type="list" showInputMessage="1" showErrorMessage="1" promptTitle="Air Minum dr Sungai/Danau/Kolam" prompt="Ada_x000a_Tidak Ada" sqref="F602" xr:uid="{00000000-0002-0000-0200-000080010000}">
      <formula1>"Ada, Tidak ada"</formula1>
    </dataValidation>
    <dataValidation type="list" showInputMessage="1" showErrorMessage="1" promptTitle="Terdapat Kejahatan Pembunuhan" prompt="Ada_x000a_Tidak Ada" sqref="F743" xr:uid="{00000000-0002-0000-0200-000081010000}">
      <formula1>"Ada, Tidak Ada"</formula1>
    </dataValidation>
    <dataValidation type="list" showInputMessage="1" showErrorMessage="1" promptTitle="Adanya Warga Beragama Kristen" prompt="Ada_x000a_Tidak Ada" sqref="F694" xr:uid="{00000000-0002-0000-0200-000082010000}">
      <formula1>"Ada, Tidak Ada"</formula1>
    </dataValidation>
    <dataValidation type="list" showInputMessage="1" showErrorMessage="1" promptTitle="Terdapat Kejahatan Narkoba" prompt="Ada_x000a_Tidak Ada" sqref="F741" xr:uid="{00000000-0002-0000-0200-000083010000}">
      <formula1>"Ada, Tidak Ada"</formula1>
    </dataValidation>
    <dataValidation type="list" showInputMessage="1" showErrorMessage="1" promptTitle="Tersedia BTS" prompt="Ada_x000a_Tidak Ada" sqref="F678" xr:uid="{00000000-0002-0000-0200-000084010000}">
      <formula1>"Ada, Tidak Ada"</formula1>
    </dataValidation>
    <dataValidation type="list" showInputMessage="1" showErrorMessage="1" promptTitle="Adanya PMKS Anak Jalanan" prompt="Ada_x000a_Tidak Ada" sqref="F770" xr:uid="{00000000-0002-0000-0200-000085010000}">
      <formula1>"Ada, Tidak Ada"</formula1>
    </dataValidation>
    <dataValidation type="list" showInputMessage="1" showErrorMessage="1" promptTitle="Terdapat Kejahatan Penganiayaan" prompt="Ada_x000a_Tidak Ada" sqref="F738" xr:uid="{00000000-0002-0000-0200-000086010000}">
      <formula1>"Ada, Tidak Ada"</formula1>
    </dataValidation>
    <dataValidation type="list" showInputMessage="1" showErrorMessage="1" promptTitle="Tdpt Kejahatan Perdagangan Orang" prompt="Ada_x000a_Tidak Ada" sqref="F744" xr:uid="{00000000-0002-0000-0200-000087010000}">
      <formula1>"Ada, Tidak Ada"</formula1>
    </dataValidation>
    <dataValidation type="list" showInputMessage="1" showErrorMessage="1" promptTitle="Sumber Air untuk Mandi dan Cuci" prompt="Sumber Air Ledeng dengan Tanpa Meteran (PAM/PDAM)_x000a_Ada_x000a_Tidak Ada" sqref="F610" xr:uid="{00000000-0002-0000-0200-000088010000}">
      <formula1>"Ada, Tidak Ada"</formula1>
    </dataValidation>
    <dataValidation type="list" showInputMessage="1" showErrorMessage="1" promptTitle="Tersedia Puskesmas Pembantu" prompt="Ada_x000a_Tidak Ada_x000a__x000a_" sqref="F553" xr:uid="{00000000-0002-0000-0200-000089010000}">
      <formula1>"Ada, Tidak Ada"</formula1>
    </dataValidation>
    <dataValidation type="list" showInputMessage="1" showErrorMessage="1" promptTitle="Anggaran utk sedia air bersih" prompt="Ada_x000a_Tidak Ada" sqref="F618" xr:uid="{00000000-0002-0000-0200-00008A010000}">
      <formula1>"Ada, Tidak Ada"</formula1>
    </dataValidation>
    <dataValidation type="list" showInputMessage="1" showErrorMessage="1" promptTitle="Adanya PMKS Korban NAPZA" prompt="Ada_x000a_Tidak Ada" sqref="F774" xr:uid="{00000000-0002-0000-0200-00008B010000}">
      <formula1>"Ada, Tidak Ada"</formula1>
    </dataValidation>
    <dataValidation type="list" showInputMessage="1" showErrorMessage="1" promptTitle="Adanya Warga Beragama Kong Hu Cu" prompt="Ada_x000a_Tidak Ada" sqref="F698" xr:uid="{00000000-0002-0000-0200-00008C010000}">
      <formula1>"Ada, Tidak Ada"</formula1>
    </dataValidation>
    <dataValidation type="list" showInputMessage="1" showErrorMessage="1" promptTitle="Jumlah Bahasa Sehari-hari" prompt="1_x000a_2_x000a_3_x000a_4_x000a_5_x000a_&gt;5" sqref="F692" xr:uid="{00000000-0002-0000-0200-00008D010000}">
      <formula1>"1,2,3,4,5,&gt;5"</formula1>
    </dataValidation>
    <dataValidation type="whole" showInputMessage="1" showErrorMessage="1" promptTitle="Jarak RS Bersalin Terdekat" prompt="(Meter)" sqref="F542 F558" xr:uid="{00000000-0002-0000-0200-00008E010000}">
      <formula1>0</formula1>
      <formula2>100000</formula2>
    </dataValidation>
    <dataValidation type="whole" showInputMessage="1" showErrorMessage="1" promptTitle="Jlh Tunanetra Perempuan" prompt=" " sqref="F758" xr:uid="{00000000-0002-0000-0200-00008F010000}">
      <formula1>0</formula1>
      <formula2>25</formula2>
    </dataValidation>
    <dataValidation type="list" showInputMessage="1" showErrorMessage="1" promptTitle="Sumber Air untuk Mandi dan Cuci" prompt="Sumber Air Hujan_x000a_Ada_x000a_Tidak Ada" sqref="F615" xr:uid="{00000000-0002-0000-0200-000090010000}">
      <formula1>"Ada, Tidak Ada"</formula1>
    </dataValidation>
    <dataValidation type="whole" showInputMessage="1" showErrorMessage="1" promptTitle="ADD Tahun 2025" prompt=" " sqref="F1382" xr:uid="{00000000-0002-0000-0200-000091010000}">
      <formula1>0</formula1>
      <formula2>2000000000</formula2>
    </dataValidation>
    <dataValidation type="whole" operator="greaterThanOrEqual" allowBlank="1" showInputMessage="1" showErrorMessage="1" promptTitle="Total Ketua RW" prompt="Ketua RW Perempuan_x000a_(Terisi dari Unggah Template Staf Petugas Desa dan Lembaga Kemasayarakatan Desa)" sqref="F45" xr:uid="{00000000-0002-0000-0200-000092010000}">
      <formula1>0</formula1>
    </dataValidation>
    <dataValidation type="list" showInputMessage="1" showErrorMessage="1" promptTitle="Adanya PMKS Gelandangan/Pengemis" prompt="Ada_x000a_Tidak Ada" sqref="F776" xr:uid="{00000000-0002-0000-0200-000093010000}">
      <formula1>"Ada, Tidak Ada"</formula1>
    </dataValidation>
    <dataValidation type="whole" showInputMessage="1" showErrorMessage="1" promptTitle="Jlh Tunarungu Perempuan" prompt=" " sqref="F760" xr:uid="{00000000-0002-0000-0200-000094010000}">
      <formula1>0</formula1>
      <formula2>25</formula2>
    </dataValidation>
    <dataValidation type="list" operator="lessThanOrEqual" showInputMessage="1" showErrorMessage="1" promptTitle="Terdapat Wihara" prompt="Ada_x000a_Tidak Ada" sqref="F704" xr:uid="{00000000-0002-0000-0200-000095010000}">
      <formula1>"Ada, Tidak Ada"</formula1>
    </dataValidation>
    <dataValidation type="whole" showInputMessage="1" showErrorMessage="1" promptTitle="Jarak Rumah Sakit Terdekat" prompt="(Meter)" sqref="F538" xr:uid="{00000000-0002-0000-0200-000096010000}">
      <formula1>0</formula1>
      <formula2>100000</formula2>
    </dataValidation>
    <dataValidation type="list" showInputMessage="1" showErrorMessage="1" promptTitle="Tdpt Insiatif Warga Siskamling" prompt="Ada_x000a_Tidak Ada" sqref="F747" xr:uid="{00000000-0002-0000-0200-000097010000}">
      <formula1>"Ada, Tidak Ada"</formula1>
    </dataValidation>
    <dataValidation type="whole" operator="greaterThanOrEqual" allowBlank="1" showInputMessage="1" showErrorMessage="1" promptTitle="Total BPD dan Anggota" prompt="BPD dan Anggota Laki-Laki_x000a_(Terisi dari Unggah Template Staf Petugas Desa dan Lembaga Kemasayarakatan Desa)" sqref="F34" xr:uid="{00000000-0002-0000-0200-000098010000}">
      <formula1>0</formula1>
    </dataValidation>
    <dataValidation type="list" allowBlank="1" showInputMessage="1" showErrorMessage="1" promptTitle="Adanya PMKS Anak Terlantar" prompt="Ada_x000a_Tidak Ada" sqref="F771" xr:uid="{00000000-0002-0000-0200-000099010000}">
      <formula1>"Ada, Tidak Ada"</formula1>
    </dataValidation>
    <dataValidation type="whole" showInputMessage="1" showErrorMessage="1" promptTitle="Lain-lain Tahun 2025" prompt=" " sqref="F1388" xr:uid="{00000000-0002-0000-0200-00009A010000}">
      <formula1>0</formula1>
      <formula2>50000000000</formula2>
    </dataValidation>
    <dataValidation type="whole" operator="greaterThanOrEqual" allowBlank="1" showInputMessage="1" showErrorMessage="1" promptTitle="Total LPM dan Anggota" prompt="LPM dan Anggota Laki-Laki_x000a_(Terisi dari Unggah Template Staf Petugas Desa dan Lembaga Kemasayarakatan Desa)" sqref="F36" xr:uid="{00000000-0002-0000-0200-00009B010000}">
      <formula1>0</formula1>
    </dataValidation>
    <dataValidation type="list" showInputMessage="1" showErrorMessage="1" promptTitle="Sumber Air untuk Mandi dan Cuci" prompt="Sumber Air Sumur Bor/ Pompa_x000a_Ada_x000a_Tidak Ada" sqref="F611" xr:uid="{00000000-0002-0000-0200-00009C010000}">
      <formula1>"Ada, Tidak Ada"</formula1>
    </dataValidation>
    <dataValidation type="list" showInputMessage="1" showErrorMessage="1" promptTitle="Terdapat Kejahatan Pencurian" prompt="Ada_x000a_Tidak Ada" sqref="F736" xr:uid="{00000000-0002-0000-0200-00009D010000}">
      <formula1>"Ada, Tidak Ada"</formula1>
    </dataValidation>
    <dataValidation type="list" showInputMessage="1" showErrorMessage="1" promptTitle="Terdapat Penjual Agen LPG/Mita" prompt="Ada_x000a_Tidak Ada" sqref="F1171" xr:uid="{00000000-0002-0000-0200-00009E010000}">
      <formula1>"Ada, Tida kAda"</formula1>
    </dataValidation>
    <dataValidation type="list" showInputMessage="1" showErrorMessage="1" promptTitle="Tingkat Pendidikan" prompt="Keterangan:_x000a_0: Tidak Sekolah_x000a_1 : Tamat Sarjana/D1/D3/Sederajat_x000a_2 : Tamat SMA/Sederajat_x000a_3 : Tamat SMP/Sederajat_x000a_4 : Tamat SD/Sederajat_x000a_5: Tidak Tamat SD" sqref="F524" xr:uid="{00000000-0002-0000-0200-00009F010000}">
      <formula1>"0,1,2,3,4,5"</formula1>
    </dataValidation>
    <dataValidation type="whole" operator="greaterThanOrEqual" allowBlank="1" showInputMessage="1" showErrorMessage="1" promptTitle="Total Kepala Dusun" prompt="Kepala Dusun Laki-Laki_x000a_(Terisi dari Unggah Template Staf Petugas Desa dan Lembaga Kemasayarakatan Desa)" sqref="F42" xr:uid="{00000000-0002-0000-0200-0000A0010000}">
      <formula1>0</formula1>
    </dataValidation>
    <dataValidation type="whole" showInputMessage="1" showErrorMessage="1" promptTitle="Jarak Ktr Desa ke Ktr Camat" prompt="Jarak Diukur dari Kantor Desa ke Kantor Camat_x000a_(Meter)" sqref="F1403" xr:uid="{00000000-0002-0000-0200-0000A1010000}">
      <formula1>0</formula1>
      <formula2>100000</formula2>
    </dataValidation>
    <dataValidation type="list" operator="lessThanOrEqual" showInputMessage="1" showErrorMessage="1" promptTitle="Terdapat Pura" prompt="Ada_x000a_Tidak Ada" sqref="F705" xr:uid="{00000000-0002-0000-0200-0000A2010000}">
      <formula1>"Ada, Tidak Ada"</formula1>
    </dataValidation>
    <dataValidation allowBlank="1" showInputMessage="1" showErrorMessage="1" promptTitle="Jumlah Unit Bidang Bumdesa" prompt="TERHITUNG SECARA OTOMATIS" sqref="F1234" xr:uid="{00000000-0002-0000-0200-0000A3010000}"/>
    <dataValidation type="list" showInputMessage="1" showErrorMessage="1" promptTitle="Kehadiran Warga Acara Lainnya" prompt="Ada_x000a_Tidak Ada" sqref="F715" xr:uid="{00000000-0002-0000-0200-0000A4010000}">
      <formula1>"Ada, Tidak Ada"</formula1>
    </dataValidation>
    <dataValidation type="list" showInputMessage="1" showErrorMessage="1" promptTitle="Kehadiran Warga Acara Perkawinan" prompt="Ada_x000a_Tidak Ada" sqref="F714" xr:uid="{00000000-0002-0000-0200-0000A5010000}">
      <formula1>"Ada, Tidak Ada"</formula1>
    </dataValidation>
    <dataValidation type="list" showInputMessage="1" showErrorMessage="1" promptTitle="Terdapat Kejahatan Pemerkosaan" prompt="Ada_x000a_Tidak Ada" sqref="F740" xr:uid="{00000000-0002-0000-0200-0000A6010000}">
      <formula1>"Ada, Tidak Ada"</formula1>
    </dataValidation>
    <dataValidation type="decimal" showInputMessage="1" showErrorMessage="1" promptTitle="Rata2 Lama Pendidikan SD di desa" prompt="diisi 6.00 tahun hingga 8.00 Tahun_x000a_cth: 6.1 , 6.4 , 7.5" sqref="F501" xr:uid="{00000000-0002-0000-0200-0000A7010000}">
      <formula1>6</formula1>
      <formula2>8</formula2>
    </dataValidation>
    <dataValidation type="whole" showInputMessage="1" showErrorMessage="1" promptTitle="Jarak Prakter Dokter Terdekat" prompt="(Meter)" sqref="F566" xr:uid="{00000000-0002-0000-0200-0000A8010000}">
      <formula1>0</formula1>
      <formula2>100000</formula2>
    </dataValidation>
    <dataValidation type="list" showInputMessage="1" showErrorMessage="1" promptTitle="Kerjasama Desa Eks PNPM" prompt="Terdapat Kerjasama Desa Eks PNPM_x000a_Ada_x000a_Tidak Ada" sqref="F1031" xr:uid="{00000000-0002-0000-0200-0000A9010000}">
      <formula1>"Ada, Tidak Ada"</formula1>
    </dataValidation>
    <dataValidation type="whole" showInputMessage="1" showErrorMessage="1" promptTitle="Jlh Disabilitas Lahir" prompt=" " sqref="F765" xr:uid="{00000000-0002-0000-0200-0000AA010000}">
      <formula1>0</formula1>
      <formula2>25</formula2>
    </dataValidation>
    <dataValidation type="whole" operator="greaterThanOrEqual" allowBlank="1" showInputMessage="1" showErrorMessage="1" promptTitle="Total Ketua RT" prompt="Ketua RT Laki-Laki_x000a_(Terisi dari Unggah Template Staf Petugas Desa dan Lembaga Kemasayarakatan Desa)" sqref="F46" xr:uid="{00000000-0002-0000-0200-0000AB010000}">
      <formula1>0</formula1>
    </dataValidation>
    <dataValidation type="list" showInputMessage="1" showErrorMessage="1" promptTitle="Papan informasi" prompt="Desa memiliki Papan Informasi Terkait Desa_x000a_Ada_x000a_Tidak Ada" sqref="F674" xr:uid="{00000000-0002-0000-0200-0000AC010000}">
      <formula1>"Ada, Tidak Ada"</formula1>
    </dataValidation>
    <dataValidation type="list" showInputMessage="1" showErrorMessage="1" promptTitle="Terdapat Kelompok Seni adat?" prompt="Ada_x000a_Tidak Ada" sqref="F709" xr:uid="{00000000-0002-0000-0200-0000AD010000}">
      <formula1>"Ada, Tidak Ada"</formula1>
    </dataValidation>
    <dataValidation type="whole" showInputMessage="1" showErrorMessage="1" promptTitle="Jlh Anggota P'rumusn RPJMDes Akf" prompt="(Orang)" sqref="F91" xr:uid="{00000000-0002-0000-0200-0000AE010000}">
      <formula1>0</formula1>
      <formula2>20</formula2>
    </dataValidation>
    <dataValidation type="list" showInputMessage="1" showErrorMessage="1" promptTitle="Tersedia Rumah Bersalin" prompt="Ada_x000a_Tidak Ada_x000a__x000a_" sqref="F557" xr:uid="{00000000-0002-0000-0200-0000AF010000}">
      <formula1>"Ada, Tidak Ada"</formula1>
    </dataValidation>
    <dataValidation type="list" showInputMessage="1" showErrorMessage="1" promptTitle="Air Minum dr Ledeng Tanpa Metern" prompt="Ada_x000a_Tidak Ada" sqref="F597" xr:uid="{00000000-0002-0000-0200-0000B0010000}">
      <formula1>"Ada, Tidak ada"</formula1>
    </dataValidation>
    <dataValidation type="list" showInputMessage="1" showErrorMessage="1" promptTitle="Ketersediaan kebun gizi di Desa" prompt="Ada_x000a_Tidak Ada" sqref="F92" xr:uid="{00000000-0002-0000-0200-0000B1010000}">
      <formula1>"Ada, Tidak Ada"</formula1>
    </dataValidation>
    <dataValidation type="list" showInputMessage="1" showErrorMessage="1" promptTitle="Tdapat P.Klinik/Balai Pengobatan" prompt="Ada_x000a_Tidak Ada_x000a__x000a_" sqref="F561" xr:uid="{00000000-0002-0000-0200-0000B2010000}">
      <formula1>"Ada, Tidak Ada"</formula1>
    </dataValidation>
    <dataValidation type="list" showInputMessage="1" showErrorMessage="1" promptTitle="Adanya PMKS Lanjut Usia Trlantar" prompt="Ada_x000a_Tidak Ada" sqref="F773" xr:uid="{00000000-0002-0000-0200-0000B3010000}">
      <formula1>"Ada, Tidak Ada"</formula1>
    </dataValidation>
    <dataValidation type="whole" showInputMessage="1" showErrorMessage="1" promptTitle="PAD Tahun 2024" prompt=" " sqref="F1379" xr:uid="{00000000-0002-0000-0200-0000B4010000}">
      <formula1>0</formula1>
      <formula2>2000000000</formula2>
    </dataValidation>
    <dataValidation type="list" showInputMessage="1" showErrorMessage="1" promptTitle="Sarana informasi lainnya" prompt="Desa memiliki sarana informasi lainnya_x000a_Ada_x000a_Tidak Ada" sqref="F676" xr:uid="{00000000-0002-0000-0200-0000B5010000}">
      <formula1>"Ada, Tidak Ada"</formula1>
    </dataValidation>
    <dataValidation type="list" showInputMessage="1" showErrorMessage="1" promptTitle="Tersedia Tempat Praktek Dokter" prompt="Ada_x000a_Tidak Ada" sqref="F565" xr:uid="{00000000-0002-0000-0200-0000B6010000}">
      <formula1>"Ada, Tidak Ada"</formula1>
    </dataValidation>
    <dataValidation type="list" showInputMessage="1" showErrorMessage="1" promptTitle="Jumlah Suku Di Desa" prompt="1_x000a_2_x000a_3_x000a_4_x000a_5_x000a_&gt;5" sqref="F691" xr:uid="{00000000-0002-0000-0200-0000B7010000}">
      <formula1>"1,2,3,4,5,&gt;5"</formula1>
    </dataValidation>
    <dataValidation type="list" showInputMessage="1" showErrorMessage="1" promptTitle="Penghasilan" prompt="Sumber penghasilan utama penduduk Desa _x000a_1: Pertanian (termasuk Perkebunan, Peternakan, Perikanan)_x000a_2: Industri_x000a_3: Perdagangan, Transportasi, dan Jasa_x000a_4. Pariwisata_x000a_5. Lainnya" sqref="F780" xr:uid="{00000000-0002-0000-0200-0000B8010000}">
      <formula1>"1,2,3,4,5"</formula1>
    </dataValidation>
    <dataValidation type="whole" showInputMessage="1" showErrorMessage="1" promptTitle="Jlh Tunalaras Perempuan" prompt=" " sqref="F762" xr:uid="{00000000-0002-0000-0200-0000B9010000}">
      <formula1>0</formula1>
      <formula2>25</formula2>
    </dataValidation>
    <dataValidation type="list" operator="greaterThanOrEqual" showInputMessage="1" showErrorMessage="1" promptTitle="Mayoritas alat P'ikanan di Desa" prompt="1. Rumpon 2. Keramba Apung_x000a_3. Dermaga Perikanan_x000a_4. Tempat P'lelangan Ikan_x000a_5. Cold Storage 6. Kolam Ikan Air Tawar_x000a_7. Alat Pengupas Sisik 8. Alat Penghancur_x000a_9. Manual;10. Alat P'ikanan Modern Lain_x000a_11. Alat P'ikanan Tradisional Lain_x000a_12. Bukan Desa Perikanan" sqref="F989" xr:uid="{00000000-0002-0000-0200-0000BA010000}">
      <formula1>"1,2,3,4,5,6,7,8,9,10,11,12"</formula1>
    </dataValidation>
    <dataValidation type="list" showInputMessage="1" showErrorMessage="1" promptTitle="Adanya Warga Beragama Katolik" prompt="Ada_x000a_Tidak Ada" sqref="F695" xr:uid="{00000000-0002-0000-0200-0000BB010000}">
      <formula1>"Ada, Tidak Ada"</formula1>
    </dataValidation>
    <dataValidation type="list" showInputMessage="1" showErrorMessage="1" promptTitle="Tersedia Puskesmas Rawat Inap" prompt="Ada_x000a_Tidak Ada_x000a_" sqref="F545" xr:uid="{00000000-0002-0000-0200-0000BC010000}">
      <formula1>"Ada, Tidak Ada"</formula1>
    </dataValidation>
    <dataValidation type="list" operator="lessThanOrEqual" showInputMessage="1" showErrorMessage="1" promptTitle="Terdapat Masjid" prompt="Ada_x000a_Tidak Ada" sqref="F701" xr:uid="{00000000-0002-0000-0200-0000BD010000}">
      <formula1>"Ada, Tidak Ada"</formula1>
    </dataValidation>
    <dataValidation type="list" showInputMessage="1" showErrorMessage="1" promptTitle="Internet Kantor Desa" prompt="Terdapat fasilitas internet di kantor kepala Desa_x000a_Ada_x000a_Tidak Ada" sqref="F647" xr:uid="{00000000-0002-0000-0200-0000BE010000}">
      <formula1>"Ada, Tidak Ada"</formula1>
    </dataValidation>
    <dataValidation type="list" operator="lessThanOrEqual" showInputMessage="1" showErrorMessage="1" promptTitle="Terdapat Gereja Katolik" prompt="Ada_x000a_Tidak Ada" sqref="F703" xr:uid="{00000000-0002-0000-0200-0000BF010000}">
      <formula1>"Ada, Tidak Ada"</formula1>
    </dataValidation>
    <dataValidation type="list" showInputMessage="1" showErrorMessage="1" promptTitle="Adanya PMKS PSK" prompt="Ada_x000a_Tidak Ada" sqref="F777" xr:uid="{00000000-0002-0000-0200-0000C0010000}">
      <formula1>"Ada, Tidak Ada"</formula1>
    </dataValidation>
    <dataValidation type="decimal" showInputMessage="1" showErrorMessage="1" promptTitle="Total Luas Wilayah Desa" prompt="(Dalam Satuan Luas Ha)_x000a_1 Km Persegi = 100 Ha" sqref="H120" xr:uid="{00000000-0002-0000-0200-0000C1010000}">
      <formula1>0</formula1>
      <formula2>42900</formula2>
    </dataValidation>
    <dataValidation type="list" showInputMessage="1" showErrorMessage="1" promptTitle="Adanya Warga Beragama Lainnya" prompt="Ada_x000a_Tidak Ada" sqref="F699" xr:uid="{00000000-0002-0000-0200-0000C2010000}">
      <formula1>"Ada, Tidak Ada"</formula1>
    </dataValidation>
    <dataValidation type="list" showInputMessage="1" showErrorMessage="1" promptTitle="Keterbukaan wilayah" prompt="Jalan Desa dapat dilalui kendaraan bermotor roda empat_x000a_0: Tidak Ada_x000a_1: Sepanjang tahun_x000a_2: Sepanjang tahun kecuali saat tertentu_x000a_3: Tidak dapat dilalui sepanjang tahun" sqref="F1364" xr:uid="{00000000-0002-0000-0200-0000C3010000}">
      <formula1>"0,1,2,3"</formula1>
    </dataValidation>
    <dataValidation type="whole" showInputMessage="1" showErrorMessage="1" promptTitle="Jarak Puskesmas Non Inap Tdekat" prompt="(Meter)" sqref="F550" xr:uid="{00000000-0002-0000-0200-0000C4010000}">
      <formula1>0</formula1>
      <formula2>100000</formula2>
    </dataValidation>
    <dataValidation type="list" showInputMessage="1" showErrorMessage="1" promptTitle="Sumber Air untuk Mandi dan Cuci" prompt="Sumber Air Sumur_x000a_Ada_x000a_Tidak Ada" sqref="F612" xr:uid="{00000000-0002-0000-0200-0000C5010000}">
      <formula1>"Ada, Tidak Ada"</formula1>
    </dataValidation>
    <dataValidation type="textLength" showInputMessage="1" showErrorMessage="1" promptTitle="Nama Program 2 Sumber Swasta" prompt="Jika Tidak Ada diisi &quot; - &quot;" sqref="F1477" xr:uid="{00000000-0002-0000-0200-0000C6010000}">
      <formula1>IF(F1476="tidak ada",1,4)</formula1>
      <formula2>IF(OR(F1471="",F1471="Tidak Ada",F1476="Tidak Ada",F1476=""),1,100)</formula2>
    </dataValidation>
    <dataValidation type="textLength" showInputMessage="1" showErrorMessage="1" promptTitle="Sumber Pembiayaan Swasta" prompt="Jika tidak Ada Diisi &quot; - &quot;" sqref="F1475" xr:uid="{00000000-0002-0000-0200-0000C7010000}">
      <formula1>IF(F1472="tidak ada",1,4)</formula1>
      <formula2>IF(OR(F1471="",F1471="tidak ada",F1472="",F1472="Tidak Ada"),1,150)</formula2>
    </dataValidation>
    <dataValidation type="textLength" showInputMessage="1" showErrorMessage="1" promptTitle="Nama Program 3 Sumber Swasta" prompt="Jika Tidak Ada diisi &quot; - &quot;" sqref="F1481" xr:uid="{00000000-0002-0000-0200-0000C8010000}">
      <formula1>IF(F1480="tidak ada",1,4)</formula1>
      <formula2>IF(OR(F1471="",F1471="Tidak Ada",F1480="Tidak Ada",F1480=""),1,100)</formula2>
    </dataValidation>
    <dataValidation type="textLength" showInputMessage="1" showErrorMessage="1" promptTitle="Sumber Pembiayaan Swasta" prompt="Jika tidak Ada Diisi &quot; - &quot;" sqref="F1479" xr:uid="{00000000-0002-0000-0200-0000C9010000}">
      <formula1>IF(F1476="tidak ada",1,4)</formula1>
      <formula2>IF(OR(F1471="",F1471="tidak ada",F1476="",F1476="Tidak Ada"),1,150)</formula2>
    </dataValidation>
    <dataValidation type="list" showInputMessage="1" showErrorMessage="1" promptTitle="Tdapat Bumdesa Jasa Penyewaan" prompt="Ada_x000a_Tidak Ada" sqref="F1197" xr:uid="{00000000-0002-0000-0200-0000CA010000}">
      <formula1>IF(OR(F1194="",F1194="tidak ada"),tidakada,adatidak)</formula1>
    </dataValidation>
    <dataValidation type="list" showInputMessage="1" showErrorMessage="1" promptTitle="Tdapat Bumdesa Jasa Penyewaan" prompt="Ada_x000a_Tidak Ada" sqref="F1196" xr:uid="{00000000-0002-0000-0200-0000CB010000}">
      <formula1>IF(OR(F1194="",F1194="tidak ada"),tidakada,adatidak)</formula1>
    </dataValidation>
    <dataValidation type="list" showInputMessage="1" showErrorMessage="1" promptTitle="Tdapat Bumdesa Jasa Penyewaan" prompt="Ada_x000a_Tidak Ada" sqref="F1195" xr:uid="{00000000-0002-0000-0200-0000CC010000}">
      <formula1>IF(OR(F1194="",F1194="tidak ada"),tidakada,adatidak)</formula1>
    </dataValidation>
    <dataValidation type="decimal" showInputMessage="1" showErrorMessage="1" promptTitle="Unggulan 2 Ikan Darat Psr Ekspor" prompt="(Ton)_x000a_Jika tidak ada diisi Nol &quot; 0 &quot;" sqref="F1116 F1125" xr:uid="{00000000-0002-0000-0200-0000CD010000}">
      <formula1>IF(F1114&lt;&gt;"Tidak ada",0.01,0)</formula1>
      <formula2>IF(OR(F1114="",F1114="Tidak Ada",F1114=0),0,25000)</formula2>
    </dataValidation>
    <dataValidation type="textLength" showInputMessage="1" showErrorMessage="1" promptTitle="Unggulan 2 Ikan Laut Psr Ekspor" prompt="Jika Tidak Ada Diisi &quot; - &quot;" sqref="F1115 F1124" xr:uid="{00000000-0002-0000-0200-0000CE010000}">
      <formula1>IF(F1114&lt;&gt;"Tidak Ada",4,1)</formula1>
      <formula2>IF(F1114="Tidak Ada",1,20)</formula2>
    </dataValidation>
    <dataValidation type="textLength" showInputMessage="1" showErrorMessage="1" promptTitle="Wilayah Tujuan Pasar Ekspor" prompt="Sebutkan Kota/Negara Tujuan Ekspor_x000a_Jika Tidak Ada diisi &quot; - &quot;" sqref="F1158 F1153 F1113 F1117 F1122 F1126 F1131 F1135 F1140 F1144 F1149 F1162" xr:uid="{00000000-0002-0000-0200-0000CF010000}">
      <formula1>IF(F1110&lt;&gt;"Tidak Ada",4,1)</formula1>
      <formula2>IF(OR(F1112="",F1112=0),1,50)</formula2>
    </dataValidation>
    <dataValidation type="textLength" showInputMessage="1" showErrorMessage="1" promptTitle="Unggulan 1 Ikan Laut Psr Ekspor" prompt="Jika Tidak Ada Diisi &quot; - &quot;" sqref="F1111 F1120" xr:uid="{00000000-0002-0000-0200-0000D0010000}">
      <formula1>IF(F1110&lt;&gt;"Tidak Ada",4,1)</formula1>
      <formula2>IF(F1110="Tidak Ada",1,20)</formula2>
    </dataValidation>
    <dataValidation type="textLength" showInputMessage="1" showErrorMessage="1" promptTitle="Wilayah Tujuan Pasar Ekspor" prompt="Sebutkan Kota/Negara Tujuan Ekspor_x000a_Jika Tidak Ada diisi &quot; - &quot;" sqref="F1091 F1094" xr:uid="{00000000-0002-0000-0200-0000D1010000}">
      <formula1>IF(F1089&lt;&gt;"Tidak Ada",3,1)</formula1>
      <formula2>IF(OR(F1090="",F1090=0),1,50)</formula2>
    </dataValidation>
    <dataValidation type="textLength" showInputMessage="1" showErrorMessage="1" promptTitle="Wilayah Tujuan Pasar Ekspor" prompt="Sebutkan Kota/Negara Tujuan Ekspor_x000a_Jika Tidak Ada diisi &quot; - &quot;" sqref="F1105 F1101 F1084 F1087 F1098 F1108" xr:uid="{00000000-0002-0000-0200-0000D2010000}">
      <formula1>IF(F1082&lt;&gt;"Tidak Ada",4,1)</formula1>
      <formula2>IF(OR(F1083="",F1083=0),1,50)</formula2>
    </dataValidation>
    <dataValidation type="textLength" showInputMessage="1" showErrorMessage="1" promptTitle="Wilayah Tujuan Pasar Domestik" prompt="Sebutkan Nama Pasar dan lokasi Kab/Kota _x000a_Jika Tidak Ada diisi &quot; - &quot;_x000a__x000a_Contoh: Pasar Pabean, Surabaya" sqref="F1065" xr:uid="{00000000-0002-0000-0200-0000D3010000}">
      <formula1>IF(F1063&lt;&gt;"Tidak Ada",3,1)</formula1>
      <formula2>IF(OR(F1064="",F1064=0),1,50)</formula2>
    </dataValidation>
    <dataValidation type="textLength" showInputMessage="1" showErrorMessage="1" promptTitle="Wilayah Tujuan Pasar Domestik" prompt="Sebutkan Nama Pasar dan lokasi Kab/Kota _x000a_Jika Tidak Ada diisi &quot; - &quot;_x000a__x000a_Contoh: Pasar Pabean, Surabaya" sqref="F1072 F1058" xr:uid="{00000000-0002-0000-0200-0000D4010000}">
      <formula1>IF(F1056&lt;&gt;"Tidak Ada",4,1)</formula1>
      <formula2>IF(OR(F1057="",F1057=0),1,50)</formula2>
    </dataValidation>
    <dataValidation type="list" showInputMessage="1" showErrorMessage="1" promptTitle="Keaktifan BKAD" prompt="Aktif_x000a_Tidak Aktif" sqref="F1006" xr:uid="{00000000-0002-0000-0200-0000D5010000}">
      <formula1>IF(OR(F995="",F995="tidak ada"),tidakaktif,aktiftidak)</formula1>
    </dataValidation>
    <dataValidation type="textLength" showInputMessage="1" showErrorMessage="1" promptTitle="Pengguna Bagi Hasil Lainnya" prompt="Jika Bukan Lainnya Diisi dengan Tanda &quot; - &quot;" sqref="F1039 F1003" xr:uid="{00000000-0002-0000-0200-0000D6010000}">
      <formula1>1</formula1>
      <formula2>IF(OR(F1002="",F1002&lt;&gt;6),1,20)</formula2>
    </dataValidation>
    <dataValidation type="decimal" showInputMessage="1" showErrorMessage="1" promptTitle="Persentase Bagi Hasil" prompt=" Jika Tidak Ada diisi tanda  &quot; 0 &quot;" sqref="F1011 F1001" xr:uid="{00000000-0002-0000-0200-0000D7010000}">
      <formula1>0</formula1>
      <formula2>IF(OR(F995="tidak ada",F995=""),0,100)</formula2>
    </dataValidation>
    <dataValidation type="textLength" showInputMessage="1" showErrorMessage="1" promptTitle="Unit Usaha yg dilakukan" prompt=" Jika Tidak Ada diisi tanda  &quot; - &quot;" sqref="F1010 F1000" xr:uid="{00000000-0002-0000-0200-0000D8010000}">
      <formula1>1</formula1>
      <formula2>IF(OR(F995="tidak ada"),1,50)</formula2>
    </dataValidation>
    <dataValidation type="textLength" showInputMessage="1" showErrorMessage="1" promptTitle="Nomor Peraturan Pembentuk" prompt="Jika Tidak Ada diisi tanda  &quot; - &quot;" sqref="F1009 F999" xr:uid="{00000000-0002-0000-0200-0000D9010000}">
      <formula1>1</formula1>
      <formula2>IF(OR(F996="",F996="tidak aktif"),1,50)</formula2>
    </dataValidation>
    <dataValidation type="textLength" showInputMessage="1" showErrorMessage="1" promptTitle="Dasar Pembentuk BKAD" prompt=" Jika Tidak Ada diisi tanda  &quot; - &quot;" sqref="F1008 F998" xr:uid="{00000000-0002-0000-0200-0000DA010000}">
      <formula1>1</formula1>
      <formula2>IF(OR(F996="",F996="tidak aktif"),1,50)</formula2>
    </dataValidation>
    <dataValidation type="textLength" showInputMessage="1" showErrorMessage="1" promptTitle="Nama BKAD" prompt="Jika Tidak Ada diisi tanda  &quot; - &quot;" sqref="F1007 F1033 F997" xr:uid="{00000000-0002-0000-0200-0000DB010000}">
      <formula1>1</formula1>
      <formula2>IF(OR(F996="",F996="tidak aktif"),1,50)</formula2>
    </dataValidation>
    <dataValidation type="list" showInputMessage="1" showErrorMessage="1" promptTitle="Keaktifan BKAD" prompt="Aktif_x000a_Tidak Aktif" sqref="F996" xr:uid="{00000000-0002-0000-0200-0000DC010000}">
      <formula1>IF(OR(F995="",F995="tidak ada"),tidakaktif,aktiftidak)</formula1>
    </dataValidation>
    <dataValidation type="textLength" showInputMessage="1" showErrorMessage="1" promptTitle="Terdapat Produk Unggulan Lainnya" prompt="Jika Ada, Sebutkan_x000a_Jika Tidak Ada, Diisi tanda &quot; - &quot;" sqref="F937 F926 F888 F981" xr:uid="{00000000-0002-0000-0200-0000DD010000}">
      <formula1>1</formula1>
      <formula2>IF(OR(F887="tidak ada",F887=""),1,20)</formula2>
    </dataValidation>
    <dataValidation type="decimal" showInputMessage="1" showErrorMessage="1" promptTitle="Total Produksi Panen dalam 1 Thn" prompt="Sebutkan (Ton Per Tahun)" sqref="F938 F927 F820 F833 F850 F889 F982" xr:uid="{00000000-0002-0000-0200-0000DE010000}">
      <formula1>IF(F818="Ada",0.01,0)</formula1>
      <formula2>IF(OR(F818="tidak ada",F818=""),0,25000)</formula2>
    </dataValidation>
    <dataValidation type="decimal" showInputMessage="1" showErrorMessage="1" promptTitle="Total Produksi Panen dalam 1 Thn" prompt="Sebutkan (Ton Per Tahun)" sqref="F977 F975 F785 F787 F789 F791 F793 F795 F797 F799 F801 F803 F805 F807 F809 F811 F813 F815 F817 F824 F826 F828 F830 F835 F837 F839 F841 F843 F845 F847 F852 F854 F856 F858 F860 F862 F864 F866 F868 F870 F872 F874 F876 F878 F880 F882 F884 F886 F892 F894 F896 F898 F900 F902 F904 F906 F908 F910 F912 F914 F916 F918 F920 F922 F924 F929 F931 F933 F935 F941 F943 F945 F947 F949 F951 F953 F955 F957 F959 F961 F963 F965 F967 F969 F971 F973 F979" xr:uid="{00000000-0002-0000-0200-0000DF010000}">
      <formula1>IF(F784="Ada",0.01,0)</formula1>
      <formula2>IF(OR(F784="tidak ada",F784=""),0,25000)</formula2>
    </dataValidation>
    <dataValidation type="list" showInputMessage="1" showErrorMessage="1" promptTitle="Kejahatan Paling Sering Terjadi" prompt="Tidak Ada_x000a_PENCURIAN_x000a_PENIPUAN/ PENGGELAPAN_x000a_PENGANIAYAAN_x000a_PEMBAKARAN_x000a_PEMERKOSAAN_x000a_PEREDARAN NARKOBA/ PENYALAHGUNAAN_x000a_PERJUDIAN_x000a_PEMBUNUHAN_x000a_PERDAGANGAN ORANG" sqref="F745" xr:uid="{00000000-0002-0000-0200-0000E0010000}">
      <formula1>IF(OR($H$735="",$H$735=0),tidakada,kejahatan)</formula1>
    </dataValidation>
    <dataValidation type="list" showInputMessage="1" showErrorMessage="1" promptTitle="Faktor Kebijakan Pemerintah Set4" prompt="Ada_x000a_Tidak Ada" sqref="F1534" xr:uid="{00000000-0002-0000-0200-0000E1010000}">
      <formula1>IF(OR(F1528="",F1528="Tidak Ada"),tidakada,adatidak)</formula1>
    </dataValidation>
    <dataValidation type="list" showInputMessage="1" showErrorMessage="1" promptTitle="Masalah Kondisi Kesehatan/Sosial" prompt="Ada_x000a_Tidak Ada" sqref="F1533" xr:uid="{00000000-0002-0000-0200-0000E2010000}">
      <formula1>IF(OR(F1528="",F1528="Tidak Ada"),tidakada,adatidak)</formula1>
    </dataValidation>
    <dataValidation type="list" showInputMessage="1" showErrorMessage="1" promptTitle="PHK Sepihak" prompt="Ada_x000a_Tidak Ada" sqref="F1532" xr:uid="{00000000-0002-0000-0200-0000E3010000}">
      <formula1>IF(OR(F1528="",F1528="Tidak Ada"),tidakada,adatidak)</formula1>
    </dataValidation>
    <dataValidation type="list" showInputMessage="1" showErrorMessage="1" promptTitle="Masalah Langgar Hukum &amp; Aturan" prompt="Ada_x000a_Tidak Ada" sqref="F1531" xr:uid="{00000000-0002-0000-0200-0000E4010000}">
      <formula1>IF(OR(F1528="",F1528="Tidak Ada"),tidakada,adatidak)</formula1>
    </dataValidation>
    <dataValidation type="list" showInputMessage="1" showErrorMessage="1" promptTitle="Masalah Dokumen &amp; Izin Tinggal" prompt="Ada_x000a_Tidak Ada" sqref="F1530" xr:uid="{00000000-0002-0000-0200-0000E5010000}">
      <formula1>IF(OR(F1528="",F1528="Tidak Ada"),tidakada,adatidak)</formula1>
    </dataValidation>
    <dataValidation type="textLength" showInputMessage="1" showErrorMessage="1" error="Jika tidak Ada diisi &quot; - &quot;_x000a_Jika ada sebutkan" promptTitle="Masalah Lainnya PMI di Deportasi" prompt="Jika Ada Lainnya, Sebutkan_x000a_Jika Tidak Ada diisi &quot; - &quot;" sqref="F1535" xr:uid="{00000000-0002-0000-0200-0000E6010000}">
      <formula1>1</formula1>
      <formula2>IF(OR(F1528="",F1528="Tidak ada"),1,100)</formula2>
    </dataValidation>
    <dataValidation type="list" showInputMessage="1" showErrorMessage="1" promptTitle="Perlu Program P'berdayaan u/ PMI" prompt="Perlu_x000a_Tidak Perlu" sqref="F1516" xr:uid="{00000000-0002-0000-0200-0000E7010000}">
      <formula1>IF(OR(F1514="",F1514="ada"),tidakperlu,PerluTidakperlu)</formula1>
    </dataValidation>
    <dataValidation type="textLength" showInputMessage="1" showErrorMessage="1" error="Jika Belum Ada diisi &quot; - &quot;_x000a_Jika Ada dijawab" promptTitle="Dampak Prog. Pemberdayaan u/ PMI" prompt="Jika Belum Ada Program Pemberdayaan diisi &quot; - &quot;" sqref="F1515" xr:uid="{00000000-0002-0000-0200-0000E8010000}">
      <formula1>IF(F1514="Ada",4,1)</formula1>
      <formula2>IF(F1514="Ada",250,1)</formula2>
    </dataValidation>
    <dataValidation type="whole" showInputMessage="1" showErrorMessage="1" error="Cek Kuesioner Potensi Perikanan_x000a_Tidak ada Potensi Peternakan diisi NOL &quot; 0 &quot;" promptTitle="Pemilik Usaha PMI Perikanan" prompt="Diisi angka" sqref="F1504" xr:uid="{00000000-0002-0000-0200-0000E9010000}">
      <formula1>0</formula1>
      <formula2>IF(AND(COUNTIF(F131:F145,"Tidak ada")=15,F146="-",COUNTIF($F$721:$F$729,"Tidak ada")=9,F157="-"),0,50)</formula2>
    </dataValidation>
    <dataValidation type="whole" showInputMessage="1" showErrorMessage="1" error="Cek Kuesioner Potensi Peternakan_x000a_Tidak ada Potensi Peternakan diisi NOL &quot; 0 &quot;" promptTitle="Pemilik Usaha PMI Peternakan" prompt="Diisi angka" sqref="F1502" xr:uid="{00000000-0002-0000-0200-0000EA010000}">
      <formula1>0</formula1>
      <formula2>IF(AND(COUNTIF(F160:F167,"Tidak Ada")=8,F168="-"),0,50)</formula2>
    </dataValidation>
    <dataValidation type="whole" showInputMessage="1" showErrorMessage="1" error="Tidak Lebih Besari dari Jumlah Pemilik Toko/Warung di Desa (339 b)" promptTitle="Pemilik Usaha PMI Retail/Toko" prompt="Diisi angka" sqref="F1500" xr:uid="{00000000-0002-0000-0200-0000EB010000}">
      <formula1>0</formula1>
      <formula2>IF(OR(F1165="",F1165="Tidak Ada"),0,IF(F1165="&lt;50",50,IF(F1165="50-100",100,IF(F1165="100-200",200,500))))</formula2>
    </dataValidation>
    <dataValidation type="whole" showInputMessage="1" showErrorMessage="1" error="Tidak Lebih Besar dari Jumlah Pemilik Kedai/Rumah Makan di Desa (340 b)" promptTitle="Pemilik Usaha PMI Kuliner" prompt="Diisi angka" sqref="F1496" xr:uid="{00000000-0002-0000-0200-0000EC010000}">
      <formula1>0</formula1>
      <formula2>IF(OR(F1167="",F1167="Tidak Ada"),0,IF(F1167="&lt;50",50,IF(F1167="50-100",100,IF(F1167="100-200",200,500))))</formula2>
    </dataValidation>
    <dataValidation type="textLength" showInputMessage="1" showErrorMessage="1" promptTitle="Sumber Pembiayaan Swasta" prompt="Jika tidak Ada Diisi &quot; - &quot;" sqref="F1491" xr:uid="{00000000-0002-0000-0200-0000ED010000}">
      <formula1>IF(F1472="tidak ada",1,4)</formula1>
      <formula2>IF(OR(F1471="",F1471="tidak ada",F1488="Tidak Ada",F1488=""),1,150)</formula2>
    </dataValidation>
    <dataValidation type="decimal" showInputMessage="1" showErrorMessage="1" promptTitle="Unggulan 1 Ikan Darat Psr Ekspor" prompt="(Ton)_x000a_Jika tidak ada diisi Nol &quot; 0 &quot;" sqref="F1112" xr:uid="{00000000-0002-0000-0200-0000EE010000}">
      <formula1>IF(F1111&lt;&gt;"Tidak ada",0.01,0)</formula1>
      <formula2>IF(OR(F1110="",F1110="Tidak Ada",F1110=0),0,25000)</formula2>
    </dataValidation>
    <dataValidation type="textLength" showInputMessage="1" showErrorMessage="1" error="Jika Tidak Ada diisi &quot; - &quot;" promptTitle="Terdapat Produk Unggulan Lainnya" prompt="Jika Ada, Sebutkan_x000a_Jika Tidak Ada, Diisi tanda &quot; - &quot;" sqref="F819" xr:uid="{00000000-0002-0000-0200-0000EF010000}">
      <formula1>1</formula1>
      <formula2>IF(OR(F818="tidak ada",F818=""),1,20)</formula2>
    </dataValidation>
    <dataValidation type="decimal" showInputMessage="1" showErrorMessage="1" error="Jika Tidak ada Diisi 0" promptTitle="Total Produksi Panen dalam 1 Thn" prompt="Sebutkan (Ton Per Tahun)" sqref="F783" xr:uid="{00000000-0002-0000-0200-0000F0010000}">
      <formula1>IF(F782="Ada",0.01,0)</formula1>
      <formula2>IF(OR(F782="tidak ada",F782=""),0,25000)</formula2>
    </dataValidation>
    <dataValidation type="decimal" showInputMessage="1" showErrorMessage="1" promptTitle="Unggulan 2 Daging Pasar Ekspor" prompt="(Ton)_x000a_Jika tidak ada diisi Nol &quot; 0 &quot;" sqref="F1152" xr:uid="{00000000-0002-0000-0200-0000F1010000}">
      <formula1>IF(F1150&lt;&gt;"Tidak ada",0.01,0)</formula1>
      <formula2>IF(OR(F1150="",F1150="Tidak Ada",F1150=0),0,25000)</formula2>
    </dataValidation>
    <dataValidation type="textLength" showInputMessage="1" showErrorMessage="1" promptTitle="Unggulan 2 Daging Pasar Ekspor" prompt="Jika Tidak Ada Diisi &quot; - &quot;" sqref="F1151" xr:uid="{00000000-0002-0000-0200-0000F2010000}">
      <formula1>IF(F1150&lt;&gt;"Tidak Ada",4,1)</formula1>
      <formula2>IF(F1150="Tidak Ada",1,20)</formula2>
    </dataValidation>
    <dataValidation type="list" showInputMessage="1" showErrorMessage="1" promptTitle="Unggulan 2 Daging Pasar Ekspor" prompt="Ada_x000a_Tidak Ada" sqref="F1150" xr:uid="{00000000-0002-0000-0200-0000F3010000}">
      <formula1>IF(OR(F1146="",F1146="Tidak Ada"),tidakada,adatidak)</formula1>
    </dataValidation>
    <dataValidation type="decimal" showInputMessage="1" showErrorMessage="1" promptTitle="Unggulan 1 Daging Pasar Ekspor" prompt="(Ton)_x000a_Jika tidak ada diisi Nol &quot; 0 &quot;" sqref="F1148" xr:uid="{00000000-0002-0000-0200-0000F4010000}">
      <formula1>IF(F1146&lt;&gt;"Tidak ada",0.01,0)</formula1>
      <formula2>IF(OR(F1146="",F1146="Tidak Ada",F1146=0),0,25000)</formula2>
    </dataValidation>
    <dataValidation type="textLength" showInputMessage="1" showErrorMessage="1" promptTitle="Unggulan 1 Daging Pasar Ekspor" prompt="Jika Tidak Ada Diisi &quot; - &quot;" sqref="F1147" xr:uid="{00000000-0002-0000-0200-0000F5010000}">
      <formula1>IF(F1146&lt;&gt;"Tidak Ada",4,1)</formula1>
      <formula2>IF(F1146="Tidak Ada",1,20)</formula2>
    </dataValidation>
    <dataValidation type="decimal" showInputMessage="1" showErrorMessage="1" promptTitle="Unggulan 2 Susu Pasar Ekspor" prompt="(Ton)_x000a_Jika tidak ada diisi Nol &quot; 0 &quot;" sqref="F1143" xr:uid="{00000000-0002-0000-0200-0000F6010000}">
      <formula1>IF(F1141&lt;&gt;"Tidak ada",0.01,0)</formula1>
      <formula2>IF(OR(F1141="",F1141="Tidak Ada",F1141=0),0,25000)</formula2>
    </dataValidation>
    <dataValidation type="textLength" showInputMessage="1" showErrorMessage="1" promptTitle="Unggulan 2 Susu Pasar Ekspor" prompt="Jika Tidak Ada Diisi &quot; - &quot;" sqref="F1142" xr:uid="{00000000-0002-0000-0200-0000F7010000}">
      <formula1>IF(F1141&lt;&gt;"Tidak Ada",4,1)</formula1>
      <formula2>IF(F1141="Tidak Ada",1,20)</formula2>
    </dataValidation>
    <dataValidation type="list" showInputMessage="1" showErrorMessage="1" promptTitle="Unggulan 2 Susu Pasar Ekspor" prompt="Ada_x000a_Tidak Ada" sqref="F1141" xr:uid="{00000000-0002-0000-0200-0000F8010000}">
      <formula1>IF(OR(F1137="",F1137="Tidak ada"),tidakada,adatidak)</formula1>
    </dataValidation>
    <dataValidation type="decimal" showInputMessage="1" showErrorMessage="1" promptTitle="Unggulan 1 Susu Pasar Ekspor" prompt="(Ton)_x000a_Jika tidak ada diisi Nol &quot; 0 &quot;" sqref="F1139" xr:uid="{00000000-0002-0000-0200-0000F9010000}">
      <formula1>IF(F1137&lt;&gt;"Tidak ada",0.01,0)</formula1>
      <formula2>IF(OR(F1137="",F1137="Tidak Ada",F1137=0),0,25000)</formula2>
    </dataValidation>
    <dataValidation type="textLength" showInputMessage="1" showErrorMessage="1" promptTitle="Unggulan 1 Susu Pasar Ekspor" prompt="Jika Tidak Ada Diisi &quot; - &quot;" sqref="F1138" xr:uid="{00000000-0002-0000-0200-0000FA010000}">
      <formula1>IF(F1137&lt;&gt;"Tidak Ada",4,1)</formula1>
      <formula2>IF(F1137="Tidak Ada",1,20)</formula2>
    </dataValidation>
    <dataValidation type="decimal" showInputMessage="1" showErrorMessage="1" promptTitle="Unggulan 2 Telur Pasar Ekspor" prompt="(Ton)_x000a_Jika tidak ada diisi Nol &quot; 0 &quot;" sqref="F1134" xr:uid="{00000000-0002-0000-0200-0000FB010000}">
      <formula1>IF(F1132&lt;&gt;"Tidak ada",0.01,0)</formula1>
      <formula2>IF(OR(F1132="",F1132="Tidak Ada",F1132=0),0,25000)</formula2>
    </dataValidation>
    <dataValidation type="textLength" showInputMessage="1" showErrorMessage="1" promptTitle="Unggulan 2 Telur Pasar Ekspor" prompt="Jika Tidak Ada Diisi &quot; - &quot;" sqref="F1133" xr:uid="{00000000-0002-0000-0200-0000FC010000}">
      <formula1>IF(F1132&lt;&gt;"Tidak Ada",4,1)</formula1>
      <formula2>IF(F1132="Tidak Ada",1,20)</formula2>
    </dataValidation>
    <dataValidation type="list" showInputMessage="1" showErrorMessage="1" promptTitle="Unggulan 2 Telur Pasar Ekspor" prompt="Ada_x000a_Tidak Ada" sqref="F1132" xr:uid="{00000000-0002-0000-0200-0000FD010000}">
      <formula1>IF(OR(F1128="",F1128="Tidak ada"),tidakada,adatidak)</formula1>
    </dataValidation>
    <dataValidation type="decimal" showInputMessage="1" showErrorMessage="1" promptTitle="Unggulan 1 Telur Pasar Ekspor" prompt="(Ton)_x000a_Jika tidak ada diisi Nol &quot; 0 &quot;" sqref="F1130" xr:uid="{00000000-0002-0000-0200-0000FE010000}">
      <formula1>IF(F1128&lt;&gt;"Tidak ada",0.01,0)</formula1>
      <formula2>IF(OR(F1128="",F1128="Tidak Ada",F1128=0),0,25000)</formula2>
    </dataValidation>
    <dataValidation type="textLength" showInputMessage="1" showErrorMessage="1" promptTitle="Unggulan 1 Telur Pasar Ekspor" prompt="Jika Tidak Ada Diisi &quot; - &quot;" sqref="F1129" xr:uid="{00000000-0002-0000-0200-0000FF010000}">
      <formula1>IF(F1128&lt;&gt;"Tidak Ada",4,1)</formula1>
      <formula2>IF(F1128="Tidak Ada",1,20)</formula2>
    </dataValidation>
    <dataValidation type="decimal" showInputMessage="1" showErrorMessage="1" promptTitle="Unggulan 2 Produk lokal Ekspor" prompt="(Ton)_x000a_Jika tidak ada diisi Nol &quot; 0 &quot;" sqref="F1161" xr:uid="{00000000-0002-0000-0200-000000020000}">
      <formula1>IF(F1159&lt;&gt;"Tidak ada",0.01,0)</formula1>
      <formula2>IF(OR(F1159="",F1159="Tidak Ada",F1159=0),0,25000)</formula2>
    </dataValidation>
    <dataValidation type="textLength" showInputMessage="1" showErrorMessage="1" promptTitle="Unggulan 2 Produk lokal Ekspor" prompt="Jika Tidak Ada Diisi &quot; - &quot;" sqref="F1160" xr:uid="{00000000-0002-0000-0200-000001020000}">
      <formula1>IF(F1159&lt;&gt;"Tidak Ada",4,1)</formula1>
      <formula2>IF(F1159="Tidak Ada",1,20)</formula2>
    </dataValidation>
    <dataValidation type="list" showInputMessage="1" showErrorMessage="1" promptTitle="Unggulan 2 Produk lokal Ekspor" prompt="Ada_x000a_Tidak Ada" sqref="F1159" xr:uid="{00000000-0002-0000-0200-000002020000}">
      <formula1>IF(OR(F1155="",F1155="Tidak Ada"),tidakada,adatidak)</formula1>
    </dataValidation>
    <dataValidation type="decimal" showInputMessage="1" showErrorMessage="1" promptTitle="Unggulan 1 Produk lokal Ekspor" prompt="(Ton)_x000a_Jika tidak ada diisi Nol &quot; 0 &quot;" sqref="F1157" xr:uid="{00000000-0002-0000-0200-000003020000}">
      <formula1>IF(F1155&lt;&gt;"Tidak ada",0.01,0)</formula1>
      <formula2>IF(OR(F1155="",F1155="Tidak Ada",F1155=0),0,25000)</formula2>
    </dataValidation>
    <dataValidation type="textLength" showInputMessage="1" showErrorMessage="1" promptTitle="Unggulan 1 Produk lokal Ekspor" prompt="Jika Tidak Ada Diisi &quot; - &quot;" sqref="F1156" xr:uid="{00000000-0002-0000-0200-000004020000}">
      <formula1>IF(F1155&lt;&gt;"Tidak Ada",4,1)</formula1>
      <formula2>IF(F1155="Tidak Ada",1,20)</formula2>
    </dataValidation>
    <dataValidation type="list" showInputMessage="1" showErrorMessage="1" promptTitle="Unggulan 2 Ikan Darat Psr Ekspor" prompt="Ada_x000a_Tidak Ada" sqref="F1123" xr:uid="{00000000-0002-0000-0200-000005020000}">
      <formula1>IF(OR(F1119="",F1119="Tidak ada"),tidakada,adatidak)</formula1>
    </dataValidation>
    <dataValidation type="list" showInputMessage="1" showErrorMessage="1" promptTitle="Unggulan 2 Ikan Laut Psr Ekspor" prompt="Ada_x000a_Tidak Ada" sqref="F1114" xr:uid="{00000000-0002-0000-0200-000006020000}">
      <formula1>IF(OR(F1110="",F1110="Tidak ada"),tidakada,adatidak)</formula1>
    </dataValidation>
    <dataValidation type="decimal" showInputMessage="1" showErrorMessage="1" promptTitle="Unggulan 1 Ikan Darat Psr Ekspor" prompt="(Ton)_x000a_Jika tidak ada diisi Nol &quot; 0 &quot;" sqref="F1121" xr:uid="{00000000-0002-0000-0200-000007020000}">
      <formula1>IF(F1119&lt;&gt;"Tidak ada",0.01,0)</formula1>
      <formula2>IF(OR(F1119="",F1119="Tidak Ada",F1119=0),0,25000)</formula2>
    </dataValidation>
    <dataValidation type="list" operator="lessThanOrEqual" showInputMessage="1" showErrorMessage="1" error="Desa Bukan Wialyah Pesisir dan Tidak memproduksi Garam._x000a_Cek Kuesioner Indeks Desa Wilayah Topografi." promptTitle="Total Produksi Garam pertahun" prompt="Tidak Ada_x000a_&lt;50 Ton_x000a_&gt;50 - 150 Ton_x000a_&gt;150 - 350 Ton_x000a_&gt;350 - 500 Ton_x000a_&gt;500 - 1.000 Ton_x000a_&gt;1.000 Ton" sqref="F463" xr:uid="{00000000-0002-0000-0200-000008020000}">
      <formula1>IF(OR(F461="",F461="tidak ada"),tidakada,garam)</formula1>
    </dataValidation>
    <dataValidation type="textLength" showInputMessage="1" showErrorMessage="1" promptTitle="Sumber Pembiayaan Swasta" prompt="Jika tidak Ada Diisi &quot; - &quot;" sqref="F1487" xr:uid="{00000000-0002-0000-0200-000009020000}">
      <formula1>IF(F1484="tidak ada",1,4)</formula1>
      <formula2>IF(OR(F1471="",F1471="tidak ada",F1484="Tidak Ada",F1484=""),1,150)</formula2>
    </dataValidation>
    <dataValidation type="list" showInputMessage="1" showErrorMessage="1" promptTitle="Total Anggaran 4 Sumber Swasta" prompt="Tidak Ada_x000a_0 - 450jt_x000a_&gt;450jt - 1 M_x000a_&gt;1M - 2M_x000a_&gt;2M - 3M_x000a_&gt;3M" sqref="F1486" xr:uid="{00000000-0002-0000-0200-00000A020000}">
      <formula1>IF(OR(F1471="",F1471="tidak ada",F1484="Tidak Ada",F1484=""),tidakada,anggaran)</formula1>
    </dataValidation>
    <dataValidation type="textLength" showInputMessage="1" showErrorMessage="1" promptTitle="Nama Program 4 Sumber Swasta" prompt="Jika Tidak Ada diisi &quot; - &quot;" sqref="F1485" xr:uid="{00000000-0002-0000-0200-00000B020000}">
      <formula1>1</formula1>
      <formula2>IF(OR(F1471="",F1471="Tidak Ada",F1484="Tidak Ada",F1484=""),1,100)</formula2>
    </dataValidation>
    <dataValidation type="list" showInputMessage="1" showErrorMessage="1" promptTitle="Jenis Program 4 Sumber Swasta" prompt="Tidak Ada_x000a_Infrastruktur_x000a_Pemberdayaan" sqref="F1484" xr:uid="{00000000-0002-0000-0200-00000C020000}">
      <formula1>IF(OR(F1471="",F1471="tidak Ada",F1480="",F1480="Tidak Ada"),tidakada,jenisprogram)</formula1>
    </dataValidation>
    <dataValidation type="list" showInputMessage="1" showErrorMessage="1" promptTitle="Total Anggaran 3 Sumber Swasta" prompt="Tidak Ada_x000a_0 - 450jt_x000a_&gt;450jt - 1 M_x000a_&gt;1M - 2M_x000a_&gt;2M - 3M_x000a_&gt;3M" sqref="F1482" xr:uid="{00000000-0002-0000-0200-00000D020000}">
      <formula1>IF(OR(F1471="",F1471="tidak ada",F1480="Tidak Ada",F1480=""),tidakada,anggaran)</formula1>
    </dataValidation>
    <dataValidation type="list" showInputMessage="1" showErrorMessage="1" promptTitle="Jenis Program 3 Sumber Swasta" prompt="Tidak Ada_x000a_Infrastruktur_x000a_Pemberdayaan" sqref="F1480" xr:uid="{00000000-0002-0000-0200-00000E020000}">
      <formula1>IF(OR(F1471="",F1471="tidak Ada",F1476="",F1476="Tidak Ada"),tidakada,jenisprogram)</formula1>
    </dataValidation>
    <dataValidation type="list" showInputMessage="1" showErrorMessage="1" promptTitle="Total Anggaran 2 Sumber Swasta" prompt="Tidak Ada_x000a_0 - 450jt_x000a_&gt;450jt - 1 M_x000a_&gt;1M - 2M_x000a_&gt;2M - 3M_x000a_&gt;3M" sqref="F1478" xr:uid="{00000000-0002-0000-0200-00000F020000}">
      <formula1>IF(OR(F1471="",F1471="tidak ada",F1476="",F1476="Tidak Ada"),tidakada,anggaran)</formula1>
    </dataValidation>
    <dataValidation type="list" showInputMessage="1" showErrorMessage="1" promptTitle="Jenis Program 2 Sumber Swasta" prompt="Tidak Ada_x000a_Infrastruktur_x000a_Pemberdayaan" sqref="F1476" xr:uid="{00000000-0002-0000-0200-000010020000}">
      <formula1>IF(OR(F1471="",F1471="tidak Ada",F1472="Tidak Ada",F1472=""),tidakada,jenisprogram)</formula1>
    </dataValidation>
    <dataValidation type="textLength" showInputMessage="1" showErrorMessage="1" promptTitle="Sumber Pembiayaan Swasta" prompt="Jika tidak Ada Diisi &quot; - &quot;" sqref="F1483" xr:uid="{00000000-0002-0000-0200-000011020000}">
      <formula1>IF(F1480="tidak ada",1,4)</formula1>
      <formula2>IF(OR(F1471="",F1471="tidak ada",F1480="",F1480="Tidak Ada"),1,150)</formula2>
    </dataValidation>
    <dataValidation type="list" showInputMessage="1" showErrorMessage="1" promptTitle="Total Anggaran 1 Sumber Swasta" prompt="Tidak Ada_x000a_0 - 450jt_x000a_&gt;450jt - 1 M_x000a_&gt;1M - 2M_x000a_&gt;2M - 3M_x000a_&gt;3M" sqref="F1474" xr:uid="{00000000-0002-0000-0200-000012020000}">
      <formula1>IF(OR(F1471="",F1471="tidak ada",F1472="",F1472="Tidak Ada"),tidakada,anggaran)</formula1>
    </dataValidation>
    <dataValidation type="textLength" showInputMessage="1" showErrorMessage="1" promptTitle="Nama Program 1 Sumber Swasta" prompt="Jika Tidak Ada diisi &quot; - &quot;" sqref="F1473" xr:uid="{00000000-0002-0000-0200-000013020000}">
      <formula1>IF(F1472="tidak ada",1,10)</formula1>
      <formula2>IF(OR(F1471="",F1471="Tidak Ada",F1472="",F1472="Tidak Ada"),1,100)</formula2>
    </dataValidation>
    <dataValidation type="list" showInputMessage="1" showErrorMessage="1" promptTitle="Jenis Program 1 Sumber Swasta" prompt="Tidak Ada_x000a_Infrastruktur_x000a_Pemberdayaan" sqref="F1472" xr:uid="{00000000-0002-0000-0200-000014020000}">
      <formula1>IF(OR(F1471="",F1471="tidak Ada"),tidakada,jenisprogram1)</formula1>
    </dataValidation>
    <dataValidation type="list" showInputMessage="1" showErrorMessage="1" promptTitle="Biaya dari Kementerian/ Lembaga" prompt=" " sqref="F1466" xr:uid="{00000000-0002-0000-0200-000015020000}">
      <formula1>IF(OR(F1450="",F1450="tidak ada",F1463="Tidak Ada",F1463=""),tidakada,kl)</formula1>
    </dataValidation>
    <dataValidation type="list" showInputMessage="1" showErrorMessage="1" promptTitle="Biaya dari Kementerian/ Lembaga" prompt=" " sqref="F1462" xr:uid="{00000000-0002-0000-0200-000016020000}">
      <formula1>IF(OR(F1450="",F1450="tidak ada",F1459="Tidak Ada",F1459=""),tidakada,kl)</formula1>
    </dataValidation>
    <dataValidation type="list" showInputMessage="1" showErrorMessage="1" promptTitle="Biaya dari Kementerian/ Lembaga" prompt=" " sqref="F1458" xr:uid="{00000000-0002-0000-0200-000017020000}">
      <formula1>IF(OR(F1450="",F1450="tidak ada",F1455="Tidak Ada",F1455=""),tidakada,kl)</formula1>
    </dataValidation>
    <dataValidation type="list" showInputMessage="1" showErrorMessage="1" promptTitle="Biaya dari Kementerian/ Lembaga" prompt=" " sqref="F1454" xr:uid="{00000000-0002-0000-0200-000018020000}">
      <formula1>IF(OR(F1450="",F1450="tidak ada",F1451="",F1451="Tidak ada"),tidakada,kl)</formula1>
    </dataValidation>
    <dataValidation type="list" showInputMessage="1" showErrorMessage="1" promptTitle="Total Anggaran 3 APBD Provinsi" prompt="Tidak Ada_x000a_0 - 450jt_x000a_&gt;450jt - 1 M_x000a_&gt;1M - 2M_x000a_&gt;2M - 3M_x000a_&gt;3M" sqref="F1440" xr:uid="{00000000-0002-0000-0200-000019020000}">
      <formula1>IF(OR(F1434="",F1434="tidak ada",F1438="Tidak Ada",F1438=""),tidakada,anggaran)</formula1>
    </dataValidation>
    <dataValidation type="list" showInputMessage="1" showErrorMessage="1" promptTitle="Total Anggaran 4 Bersumber APBN" prompt="Tidak Ada_x000a_0 - 450jt_x000a_&gt;450jt - 1 M_x000a_&gt;1M - 2M_x000a_&gt;2M - 3M_x000a_&gt;3M" sqref="F1465" xr:uid="{00000000-0002-0000-0200-00001A020000}">
      <formula1>IF(OR(F1450="",F1450="tidak ada",F1463="",F1463="Tidak Ada"),tidakada,anggaran)</formula1>
    </dataValidation>
    <dataValidation type="textLength" showInputMessage="1" showErrorMessage="1" promptTitle="Nama Program 4 Bersumber APBN" prompt="Jika Tidak Ada diisi &quot; - &quot;" sqref="F1464" xr:uid="{00000000-0002-0000-0200-00001B020000}">
      <formula1>IF(F1463="tidak ada",1,10)</formula1>
      <formula2>IF(OR(F1450="",F1450="Tidak Ada",F1463="Tidak Ada",F1463=""),1,100)</formula2>
    </dataValidation>
    <dataValidation type="list" showInputMessage="1" showErrorMessage="1" promptTitle="Jenis Program 4 Bersumber APBN" prompt="Tidak Ada_x000a_Infrastruktur_x000a_Pemberdayaan" sqref="F1463" xr:uid="{00000000-0002-0000-0200-00001C020000}">
      <formula1>IF(OR(F1450="",F1450="tidak Ada",F1459="",F1459="Tidak Ada"),tidakada,jenisprogram)</formula1>
    </dataValidation>
    <dataValidation type="list" showInputMessage="1" showErrorMessage="1" promptTitle="Total Anggaran 3 Bersumber APBN" prompt="Tidak Ada_x000a_0 - 450jt_x000a_&gt;450jt - 1 M_x000a_&gt;1M - 2M_x000a_&gt;2M - 3M_x000a_&gt;3M" sqref="F1461" xr:uid="{00000000-0002-0000-0200-00001D020000}">
      <formula1>IF(OR(F1450="",F1450="tidak ada",F1459="",F1459="Tidak Ada"),tidakada,anggaran)</formula1>
    </dataValidation>
    <dataValidation type="textLength" showInputMessage="1" showErrorMessage="1" promptTitle="Nama Program 3 Bersumber APBN" prompt="Jika Tidak Ada diisi &quot; - &quot;" sqref="F1460" xr:uid="{00000000-0002-0000-0200-00001E020000}">
      <formula1>IF(F1459="tidak ada",1,10)</formula1>
      <formula2>IF(OR(F1450="",F1450="Tidak Ada",F1459="Tidak Ada",F1459=""),1,100)</formula2>
    </dataValidation>
    <dataValidation type="list" showInputMessage="1" showErrorMessage="1" promptTitle="Jenis Program 3 Bersumber APBN" prompt="Tidak Ada_x000a_Infrastruktur_x000a_Pemberdayaan" sqref="F1459" xr:uid="{00000000-0002-0000-0200-00001F020000}">
      <formula1>IF(OR(F1450="",F1450="tidak Ada",F1455="Tidak Ada",F1455=""),tidakada,jenisprogram)</formula1>
    </dataValidation>
    <dataValidation type="list" showInputMessage="1" showErrorMessage="1" promptTitle="Total Anggaran 2 Bersumber APBN" prompt="Tidak Ada_x000a_0 - 450jt_x000a_&gt;450jt - 1 M_x000a_&gt;1M - 2M_x000a_&gt;2M - 3M_x000a_&gt;3M" sqref="F1457" xr:uid="{00000000-0002-0000-0200-000020020000}">
      <formula1>IF(OR(F1450="",F1450="tidak ada",F1455="",F1455="Tidak Ada"),tidakada,anggaran)</formula1>
    </dataValidation>
    <dataValidation type="textLength" showInputMessage="1" showErrorMessage="1" promptTitle="Nama Program 2 Bersumber APBN" prompt="Jika Tidak Ada diisi &quot; - &quot;" sqref="F1456" xr:uid="{00000000-0002-0000-0200-000021020000}">
      <formula1>IF(F1455="tidak ada",1,10)</formula1>
      <formula2>IF(OR(F1450="",F1450="Tidak Ada",F1455="",F1455="Tidak Ada"),1,100)</formula2>
    </dataValidation>
    <dataValidation type="list" showInputMessage="1" showErrorMessage="1" promptTitle="Jenis Program 2 Bersumber APBN" prompt="Tidak Ada_x000a_Infrastruktur_x000a_Pemberdayaan" sqref="F1455" xr:uid="{00000000-0002-0000-0200-000022020000}">
      <formula1>IF(OR(F1450="",F1450="tidak Ada",F1451="Tidak Ada",F1451=""),tidakada,jenisprogram)</formula1>
    </dataValidation>
    <dataValidation type="list" showInputMessage="1" showErrorMessage="1" promptTitle="Total Anggaran 1 Bersumber APBN" prompt="Tidak Ada_x000a_0 - 450jt_x000a_&gt;450jt - 1 M_x000a_&gt;1M - 2M_x000a_&gt;2M - 3M_x000a_&gt;3M" sqref="F1453" xr:uid="{00000000-0002-0000-0200-000023020000}">
      <formula1>IF(OR(F1450="",F1450="tidak ada",F1451="",F1451="Tidak Ada"),tidakada,anggaran)</formula1>
    </dataValidation>
    <dataValidation type="textLength" showInputMessage="1" showErrorMessage="1" promptTitle="Nama Program 1 Bersumber APBN" prompt="Jika Tidak Ada diisi &quot; - &quot;" sqref="F1452" xr:uid="{00000000-0002-0000-0200-000024020000}">
      <formula1>IF(F1451="tidak ada",1,10)</formula1>
      <formula2>IF(OR(F1450="",F1450="Tidak Ada",F1451="",F1451="Tidak ada"),1,100)</formula2>
    </dataValidation>
    <dataValidation type="list" showInputMessage="1" showErrorMessage="1" promptTitle="Jenis Program 1 Bersumber APBN" prompt="Tidak Ada_x000a_Infrastruktur_x000a_Pemberdayaan" sqref="F1451" xr:uid="{00000000-0002-0000-0200-000025020000}">
      <formula1>IF(OR(F1450="",F1450="tidak Ada"),tidakada,jenisprogram1)</formula1>
    </dataValidation>
    <dataValidation type="list" showInputMessage="1" showErrorMessage="1" promptTitle="Total Anggaran 4 APBD Provinsi" prompt="Tidak Ada_x000a_0 - 450jt_x000a_&gt;450jt - 1 M_x000a_&gt;1M - 2M_x000a_&gt;2M - 3M_x000a_&gt;3M" sqref="F1446" xr:uid="{00000000-0002-0000-0200-000026020000}">
      <formula1>IF(OR(F1434="",F1434="tidak ada",F1444="Tidak Ada",F1444=""),tidakada,anggaran)</formula1>
    </dataValidation>
    <dataValidation type="textLength" showInputMessage="1" showErrorMessage="1" promptTitle="Nama Program 4 APBD Provinsi" prompt="Jika Tidak Ada diisi &quot; - &quot;" sqref="F1445" xr:uid="{00000000-0002-0000-0200-000027020000}">
      <formula1>IF(F1444="tidak ada",1,10)</formula1>
      <formula2>IF(OR(F1434="",F1434="Tidak Ada",F1444="Tidak Ada",F1444=""),1,100)</formula2>
    </dataValidation>
    <dataValidation type="list" showInputMessage="1" showErrorMessage="1" promptTitle="Jenis Program 4 APBD Provinsi" prompt="Tidak Ada_x000a_Infrastruktur_x000a_Pemberdayaan" sqref="F1444" xr:uid="{00000000-0002-0000-0200-000028020000}">
      <formula1>IF(OR(F1434="",F1434="tidak Ada",F1441="",F1441="Tidak Ada"),tidakada,jenisprogram)</formula1>
    </dataValidation>
    <dataValidation type="textLength" showInputMessage="1" showErrorMessage="1" promptTitle="Nama Program 3 APBD Provinsi" prompt="Jika Tidak Ada diisi &quot; - &quot;" sqref="F1442" xr:uid="{00000000-0002-0000-0200-000029020000}">
      <formula1>IF(F1441="tidak ada",1,10)</formula1>
      <formula2>IF(OR(F1434="",F1434="Tidak Ada",F1441="",F1441="Tidak Ada"),1,100)</formula2>
    </dataValidation>
    <dataValidation type="list" showInputMessage="1" showErrorMessage="1" promptTitle="Jenis Program 3 APBD Provinsi" prompt="Tidak Ada_x000a_Infrastruktur_x000a_Pemberdayaan" sqref="F1441" xr:uid="{00000000-0002-0000-0200-00002A020000}">
      <formula1>IF(OR(F1434="",F1434="tidak Ada",F1438="",F1438="Tidak Ada"),tidakada,jenisprogram)</formula1>
    </dataValidation>
    <dataValidation type="list" showInputMessage="1" showErrorMessage="1" promptTitle="Total Anggaran 3 APBD Provinsi" prompt="Tidak Ada_x000a_0 - 450jt_x000a_&gt;450jt - 1 M_x000a_&gt;1M - 2M_x000a_&gt;2M - 3M_x000a_&gt;3M" sqref="F1443" xr:uid="{00000000-0002-0000-0200-00002B020000}">
      <formula1>IF(OR(F1434="",F1434="tidak ada",F1441="",F1441="Tidak Ada"),tidakada,anggaran)</formula1>
    </dataValidation>
    <dataValidation type="textLength" showInputMessage="1" showErrorMessage="1" promptTitle="Nama Program 2 APBD Provinsi" prompt="Jika Tidak Ada diisi &quot; - &quot;" sqref="F1439" xr:uid="{00000000-0002-0000-0200-00002C020000}">
      <formula1>IF(F1438="tidak ada",1,10)</formula1>
      <formula2>IF(OR(F1434="",F1434="Tidak Ada",F1438="tidak ada",F1438=""),1,100)</formula2>
    </dataValidation>
    <dataValidation type="list" showInputMessage="1" showErrorMessage="1" promptTitle="Jenis Program 2 APBD Provinsi" prompt="Tidak Ada_x000a_Infrastruktur_x000a_Pemberdayaan" sqref="F1438" xr:uid="{00000000-0002-0000-0200-00002D020000}">
      <formula1>IF(OR(F1434="",F1434="tidak Ada",F1435="",F1435="tidak Ada"),tidakada,jenisprogram)</formula1>
    </dataValidation>
    <dataValidation type="list" showInputMessage="1" showErrorMessage="1" promptTitle="Total Anggaran 1 APBD Provinsi" prompt="Tidak Ada_x000a_0 - 450jt_x000a_&gt;450jt - 1 M_x000a_&gt;1M - 2M_x000a_&gt;2M - 3M_x000a_&gt;3M" sqref="F1437" xr:uid="{00000000-0002-0000-0200-00002E020000}">
      <formula1>IF(OR(F1434="",F1434="tidak ada",F1435="tidak ada",F1435=""),tidakada,anggaran)</formula1>
    </dataValidation>
    <dataValidation type="textLength" showInputMessage="1" showErrorMessage="1" promptTitle="Nama Program 1 APBD Provinsi" prompt="Jika Tidak Ada diisi &quot; - &quot;" sqref="F1436" xr:uid="{00000000-0002-0000-0200-00002F020000}">
      <formula1>IF(F1435="tidak ada",1,10)</formula1>
      <formula2>IF(OR(F1434="",F1434="Tidak Ada",F1435="tidak ada",F1435=""),1,100)</formula2>
    </dataValidation>
    <dataValidation type="list" showInputMessage="1" showErrorMessage="1" promptTitle="Jenis Program 1 APBD Provinsi" prompt="Tidak Ada_x000a_Infrastruktur_x000a_Pemberdayaan" sqref="F1435" xr:uid="{00000000-0002-0000-0200-000030020000}">
      <formula1>IF(OR(F1434="",F1434="tidak Ada"),tidakada,jenisprogram1)</formula1>
    </dataValidation>
    <dataValidation type="list" showInputMessage="1" showErrorMessage="1" promptTitle="Total Anggaran 4  APBD Kab/Kota" prompt="Tidak Ada_x000a_0 - 450jt_x000a_&gt;450jt - 1 M_x000a_&gt;1M - 2M_x000a_&gt;2M - 3M_x000a_&gt;3M" sqref="F1430" xr:uid="{00000000-0002-0000-0200-000031020000}">
      <formula1>IF(OR(F1418="",F1418="tidak ada",F1428="Tidak Ada",F1428=""),tidakada,anggaran)</formula1>
    </dataValidation>
    <dataValidation type="textLength" showInputMessage="1" showErrorMessage="1" promptTitle="Nama Program 4  APBD Kab/Kota" prompt="Jika Tidak Ada diisi &quot; - &quot;" sqref="F1429" xr:uid="{00000000-0002-0000-0200-000032020000}">
      <formula1>IF(F1428="tidak ada",1,10)</formula1>
      <formula2>IF(OR(F1428="",F1428="Tidak Ada",F1428="",F1428="Tidak Ada"),1,100)</formula2>
    </dataValidation>
    <dataValidation type="list" showInputMessage="1" showErrorMessage="1" promptTitle="Jenis Program 4  APBD Kab/Kota" prompt="Tidak Ada_x000a_Infrastruktur_x000a_Pemberdayaan" sqref="F1428" xr:uid="{00000000-0002-0000-0200-000033020000}">
      <formula1>IF(OR(F1418="",F1418="tidak Ada",F1425="",F1425="Tidak Ada"),tidakada,jenisprogram)</formula1>
    </dataValidation>
    <dataValidation type="list" showInputMessage="1" showErrorMessage="1" promptTitle="Total Anggaran 3 APBD Kab/Kota" prompt="Tidak Ada_x000a_0 - 450jt_x000a_&gt;450jt - 1 M_x000a_&gt;1M - 2M_x000a_&gt;2M - 3M_x000a_&gt;3M" sqref="F1427" xr:uid="{00000000-0002-0000-0200-000034020000}">
      <formula1>IF(OR(F1425="",F1425="tidak ada"),tidakada,anggaran)</formula1>
    </dataValidation>
    <dataValidation type="textLength" showInputMessage="1" showErrorMessage="1" promptTitle="Nama Program 3  APBD Kab/Kota" prompt="Jika Tidak Ada diisi &quot; - &quot;" sqref="F1426" xr:uid="{00000000-0002-0000-0200-000035020000}">
      <formula1>IF(F1425="tidak ada",1,10)</formula1>
      <formula2>IF(OR(F1425="",F1425="Tidak Ada",F1425="",F1425="tidak ada"),1,100)</formula2>
    </dataValidation>
    <dataValidation type="list" showInputMessage="1" showErrorMessage="1" promptTitle="Jenis Program 3 APBD Kab/Kota" prompt="Tidak Ada_x000a_Infrastruktur_x000a_Pemberdayaan" sqref="F1425" xr:uid="{00000000-0002-0000-0200-000036020000}">
      <formula1>IF(OR(F1418="",F1418="tidak Ada",F1422="Tidak Ada"),tidakada,jenisprogram)</formula1>
    </dataValidation>
    <dataValidation type="list" showInputMessage="1" showErrorMessage="1" promptTitle="Total Anggaran 2 APBD Kab/Kota" prompt="Tidak Ada_x000a_0 - 450jt_x000a_&gt;450jt - 1 M_x000a_&gt;1M - 2M_x000a_&gt;2M - 3M_x000a_&gt;3M" sqref="F1424" xr:uid="{00000000-0002-0000-0200-000037020000}">
      <formula1>IF(OR(F1418="",F1418="tidak ada"),tidakada,anggaran)</formula1>
    </dataValidation>
    <dataValidation type="textLength" showInputMessage="1" showErrorMessage="1" error="Terdapat Jenis Program Pembangunan diisi dengan benar" promptTitle="Nama Program 2 APBD Kab/Kota" prompt="Jika Tidak Ada diisi &quot; - &quot;" sqref="F1423" xr:uid="{00000000-0002-0000-0200-000038020000}">
      <formula1>IF(F1422="tidak ada",1,10)</formula1>
      <formula2>IF(OR(F1418="",F1418="Tidak Ada",F1422="",F1422="Tidak Ada"),1,100)</formula2>
    </dataValidation>
    <dataValidation type="list" showInputMessage="1" showErrorMessage="1" promptTitle="Jenis Program 2 APBD Kab/Kota" prompt="Tidak Ada_x000a_Infrastruktur_x000a_Pemberdayaan" sqref="F1422" xr:uid="{00000000-0002-0000-0200-000039020000}">
      <formula1>IF(OR(F1418="",F1418="tidak Ada"),tidakada,jenisprogram)</formula1>
    </dataValidation>
    <dataValidation type="list" showInputMessage="1" showErrorMessage="1" promptTitle="Total Anggaran 1 APBD Kab/Kota" prompt="Tidak Ada_x000a_0 - 450jt_x000a_&gt;450jt - 1 M_x000a_&gt;1M - 2M_x000a_&gt;2M - 3M_x000a_&gt;3M" sqref="F1421" xr:uid="{00000000-0002-0000-0200-00003A020000}">
      <formula1>IF(OR(F1418="",F1418="tidak ada",F1419="Tidak Ada",F1419=""),tidakada,anggaran)</formula1>
    </dataValidation>
    <dataValidation type="textLength" showInputMessage="1" showErrorMessage="1" error="Terdapat Jenis Program Pembangunan diisi dengan benar" promptTitle="Nama Program 1 APBD Kab/Kota" prompt="Jika Tidak Ada diisi &quot; - &quot;" sqref="F1420" xr:uid="{00000000-0002-0000-0200-00003B020000}">
      <formula1>IF(F1419="tidak ada",1,10)</formula1>
      <formula2>IF(OR(F1418="",F1418="Tidak Ada",F1419="Tidak Ada",F1419=""),1,100)</formula2>
    </dataValidation>
    <dataValidation type="list" showInputMessage="1" showErrorMessage="1" promptTitle="Jenis Program 1 APBD Kab/Kota" prompt="Tidak Ada_x000a_Infrastruktur_x000a_Pemberdayaan" sqref="F1419" xr:uid="{00000000-0002-0000-0200-00003C020000}">
      <formula1>IF(OR(F1418="",F1418="tidak Ada"),tidakada,jenisprogram1)</formula1>
    </dataValidation>
    <dataValidation type="list" showInputMessage="1" showErrorMessage="1" promptTitle="Manfaat Rencana Membangun Baik" prompt="Ada_x000a_Tidak Ada" sqref="F1360" xr:uid="{00000000-0002-0000-0200-00003D020000}">
      <formula1>IF(OR(F1359="",F1359="tidak ada"),tidakada,adatidak)</formula1>
    </dataValidation>
    <dataValidation type="list" showInputMessage="1" showErrorMessage="1" promptTitle="Kerjasama Kelola Bantuan Mandiri" prompt="Ada_x000a_Tidak Ada" sqref="F1357" xr:uid="{00000000-0002-0000-0200-00003E020000}">
      <formula1>IF(OR(F1354="",F1354="tidak ada"),tidakada,adatidak)</formula1>
    </dataValidation>
    <dataValidation type="list" showInputMessage="1" showErrorMessage="1" promptTitle="Anggaran Kelola Bantuan Mandiri" prompt="Ada_x000a_Tidak Ada" sqref="F1356" xr:uid="{00000000-0002-0000-0200-00003F020000}">
      <formula1>IF(OR(F1354="",F1354="tidak ada"),tidakada,adatidak)</formula1>
    </dataValidation>
    <dataValidation type="list" showInputMessage="1" showErrorMessage="1" promptTitle="Manfaat Kelola Bantuan Mandiri" prompt="Ada_x000a_Tidak Ada" sqref="F1355" xr:uid="{00000000-0002-0000-0200-000040020000}">
      <formula1>IF(OR(F1354="",F1354="tidak ada"),tidakada,adatidak)</formula1>
    </dataValidation>
    <dataValidation type="list" showInputMessage="1" showErrorMessage="1" promptTitle="Kerjasama Mekanisme Pemulihan D" prompt="Ada_x000a_Tidak Ada" sqref="F1352" xr:uid="{00000000-0002-0000-0200-000041020000}">
      <formula1>IF(OR(F1349="",F1349="tidak ada"),tidakada,adatidak)</formula1>
    </dataValidation>
    <dataValidation type="list" showInputMessage="1" showErrorMessage="1" promptTitle="Anggaran Mekanisme PemulihanDini" prompt="Ada_x000a_Tidak Ada" sqref="F1351" xr:uid="{00000000-0002-0000-0200-000042020000}">
      <formula1>IF(OR(F1349="",F1349="tidak ada"),tidakada,adatidak)</formula1>
    </dataValidation>
    <dataValidation type="list" showInputMessage="1" showErrorMessage="1" promptTitle="Manfaat Mekanisme Pemulihan Dini" prompt="Ada_x000a_Tidak Ada" sqref="F1350" xr:uid="{00000000-0002-0000-0200-000043020000}">
      <formula1>IF(OR(F1349="",F1349="tidak ada"),tidakada,adatidak)</formula1>
    </dataValidation>
    <dataValidation type="list" showInputMessage="1" showErrorMessage="1" promptTitle="Kerjasama Penilaian Rusak/ Rugi" prompt="Ada_x000a_Tidak Ada" sqref="F1347" xr:uid="{00000000-0002-0000-0200-000044020000}">
      <formula1>IF(OR(F1344="",F1344="tidak ada"),tidakada,adatidak)</formula1>
    </dataValidation>
    <dataValidation type="list" showInputMessage="1" showErrorMessage="1" promptTitle="Anggaran Penilaian Rusak/ Rugi" prompt="Ada_x000a_Tidak Ada" sqref="F1346" xr:uid="{00000000-0002-0000-0200-000045020000}">
      <formula1>IF(OR(F1344="",F1344="tidak ada"),tidakada,adatidak)</formula1>
    </dataValidation>
    <dataValidation type="list" showInputMessage="1" showErrorMessage="1" promptTitle="Manfaat Penilaian Rusak/ Rugi" prompt="Ada_x000a_Tidak Ada" sqref="F1345" xr:uid="{00000000-0002-0000-0200-000046020000}">
      <formula1>IF(OR(F1344="",F1344="tidak ada"),tidakada,adatidak)</formula1>
    </dataValidation>
    <dataValidation type="list" showInputMessage="1" showErrorMessage="1" promptTitle="Kerjasma Sosialisasi Kebencanaan" prompt="Ada_x000a_Tidak Ada" sqref="F1342" xr:uid="{00000000-0002-0000-0200-000047020000}">
      <formula1>IF(OR(F1339="",F1339="tidak ada"),tidakada,adatidak)</formula1>
    </dataValidation>
    <dataValidation type="list" showInputMessage="1" showErrorMessage="1" promptTitle="Anggaran Sosialisasi Kebencanaan" prompt="Ada_x000a_Tidak Ada" sqref="F1341" xr:uid="{00000000-0002-0000-0200-000048020000}">
      <formula1>IF(OR(F1339="",F1339="tidak ada"),tidakada,adatidak)</formula1>
    </dataValidation>
    <dataValidation type="list" showInputMessage="1" showErrorMessage="1" promptTitle="Manfaat Sosialisasi Kebencanaan" prompt="Ada_x000a_Tidak Ada" sqref="F1340" xr:uid="{00000000-0002-0000-0200-000049020000}">
      <formula1>IF(OR(F1339="",F1339="tidak ada"),tidakada,adatidak)</formula1>
    </dataValidation>
    <dataValidation type="list" showInputMessage="1" showErrorMessage="1" promptTitle="Kerjasama Penanggulangan" prompt="Ada_x000a_Tidak Ada" sqref="F1337" xr:uid="{00000000-0002-0000-0200-00004A020000}">
      <formula1>IF(OR(F1334="",F1334="tidak ada"),tidakada,adatidak)</formula1>
    </dataValidation>
    <dataValidation type="list" showInputMessage="1" showErrorMessage="1" promptTitle="Anggaran Kerjasama Penanggulangn" prompt="Ada_x000a_Tidak Ada" sqref="F1336" xr:uid="{00000000-0002-0000-0200-00004B020000}">
      <formula1>IF(OR(F1334="",F1334="tidak ada"),tidakada,adatidak)</formula1>
    </dataValidation>
    <dataValidation type="list" showInputMessage="1" showErrorMessage="1" promptTitle="Manfaat Kerjasama Penanggulangan" prompt="Ada_x000a_Tidak Ada" sqref="F1335" xr:uid="{00000000-0002-0000-0200-00004C020000}">
      <formula1>IF(OR(F1334="",F1334="tidak ada"),tidakada,adatidak)</formula1>
    </dataValidation>
    <dataValidation type="list" showInputMessage="1" showErrorMessage="1" promptTitle="Kerjasama Latihan Penanggulangan" prompt="Ada_x000a_Tidak Ada" sqref="F1332" xr:uid="{00000000-0002-0000-0200-00004D020000}">
      <formula1>IF(OR(F1329="",F1329="tidak ada"),tidakada,adatidak)</formula1>
    </dataValidation>
    <dataValidation type="list" showInputMessage="1" showErrorMessage="1" promptTitle="Anggaran Latihan Penanggulangan " prompt="Ada_x000a_Tidak Ada" sqref="F1331" xr:uid="{00000000-0002-0000-0200-00004E020000}">
      <formula1>IF(OR(F1329="",F1329="tidak ada"),tidakada,adatidak)</formula1>
    </dataValidation>
    <dataValidation type="list" showInputMessage="1" showErrorMessage="1" promptTitle="Manfaat Latihan Penanggulangan B" prompt="Ada_x000a_Tidak Ada" sqref="F1330" xr:uid="{00000000-0002-0000-0200-00004F020000}">
      <formula1>IF(OR(F1329="",F1329="tidak ada"),tidakada,adatidak)</formula1>
    </dataValidation>
    <dataValidation type="list" showInputMessage="1" showErrorMessage="1" promptTitle="Kerjasama Rencana Penanggulangan" prompt="Ada_x000a_Tidak Ada" sqref="F1327" xr:uid="{00000000-0002-0000-0200-000050020000}">
      <formula1>IF(OR(F1324="",F1324="tidak ada"),tidakada,adatidak)</formula1>
    </dataValidation>
    <dataValidation type="list" showInputMessage="1" showErrorMessage="1" promptTitle="Anggaran Rencana PenanggulanganB" prompt="Ada_x000a_Tidak Ada" sqref="F1326" xr:uid="{00000000-0002-0000-0200-000051020000}">
      <formula1>IF(OR(F1324="",F1324="tidak ada"),tidakada,adatidak)</formula1>
    </dataValidation>
    <dataValidation type="list" showInputMessage="1" showErrorMessage="1" promptTitle="Manfaat Rencana Penanggulangan B" prompt="Ada_x000a_Tidak Ada" sqref="F1325" xr:uid="{00000000-0002-0000-0200-000052020000}">
      <formula1>IF(OR(F1324="",F1324="tidak ada"),tidakada,adatidak)</formula1>
    </dataValidation>
    <dataValidation type="list" showInputMessage="1" showErrorMessage="1" promptTitle="Kerjasama Mitigasi Bencana" prompt="Ada_x000a_Tidak Ada" sqref="F1322" xr:uid="{00000000-0002-0000-0200-000053020000}">
      <formula1>IF(OR(F1319="",F1319="tidak ada"),tidakada,adatidak)</formula1>
    </dataValidation>
    <dataValidation type="list" showInputMessage="1" showErrorMessage="1" promptTitle="AlokasiAnggaran Mitigasi Bencana" prompt="Ada_x000a_Tidak Ada" sqref="F1321" xr:uid="{00000000-0002-0000-0200-000054020000}">
      <formula1>IF(OR(F1319="",F1319="tidak ada"),tidakada,adatidak)</formula1>
    </dataValidation>
    <dataValidation type="list" showInputMessage="1" showErrorMessage="1" promptTitle="Anggaran Uji Kesiapsiagaan" prompt="Ada_x000a_Tidak Ada" sqref="F1316" xr:uid="{00000000-0002-0000-0200-000055020000}">
      <formula1>IF(OR(F1314="",F1314="tidak ada"),tidakada,adatidak)</formula1>
    </dataValidation>
    <dataValidation type="list" showInputMessage="1" showErrorMessage="1" promptTitle="Manfaat Uji Kesiapsiagaan" prompt="Ada_x000a_Tidak Ada" sqref="F1315" xr:uid="{00000000-0002-0000-0200-000056020000}">
      <formula1>IF(OR(F1314="",F1314="tidak ada"),tidakada,adatidak)</formula1>
    </dataValidation>
    <dataValidation type="list" showInputMessage="1" showErrorMessage="1" promptTitle="Kerjasama Tempat Pengungsian" prompt="Ada_x000a_Tidak Ada" sqref="F1312" xr:uid="{00000000-0002-0000-0200-000057020000}">
      <formula1>IF(OR(F1309="",F1309="tidak ada"),tidakada,adatidak)</formula1>
    </dataValidation>
    <dataValidation type="list" showInputMessage="1" showErrorMessage="1" promptTitle="Anggaran Tempat Pengungsian" prompt="Ada_x000a_Tidak Ada" sqref="F1311" xr:uid="{00000000-0002-0000-0200-000058020000}">
      <formula1>IF(OR(F1309="",F1309="tidak ada"),tidakada,adatidak)</formula1>
    </dataValidation>
    <dataValidation type="list" showInputMessage="1" showErrorMessage="1" promptTitle="Manfaat Tempat Pengungsian" prompt="Ada_x000a_Tidak Ada" sqref="F1310" xr:uid="{00000000-0002-0000-0200-000059020000}">
      <formula1>IF(OR(F1309="",F1309="tidak ada"),tidakada,adatidak)</formula1>
    </dataValidation>
    <dataValidation type="list" showInputMessage="1" showErrorMessage="1" promptTitle="Kerjasama Jalur Evakuasi" prompt="Ada_x000a_Tidak Ada" sqref="F1307" xr:uid="{00000000-0002-0000-0200-00005A020000}">
      <formula1>IF(OR(F1304="",F1304="tidak ada"),tidakada,adatidak)</formula1>
    </dataValidation>
    <dataValidation type="list" showInputMessage="1" showErrorMessage="1" promptTitle="Alokasi Anggaran Jalur Evakuasi" prompt="Ada_x000a_Tidak Ada" sqref="F1306" xr:uid="{00000000-0002-0000-0200-00005B020000}">
      <formula1>IF(OR(F1304="",F1304="tidak ada"),tidakada,adatidak)</formula1>
    </dataValidation>
    <dataValidation type="list" showInputMessage="1" showErrorMessage="1" promptTitle="Manfaat Jalur Evakuasi" prompt="Ada_x000a_Tidak Ada" sqref="F1305" xr:uid="{00000000-0002-0000-0200-00005C020000}">
      <formula1>IF(OR(F1304="",F1304="tidak ada"),tidakada,adatidak)</formula1>
    </dataValidation>
    <dataValidation type="list" showInputMessage="1" showErrorMessage="1" promptTitle="Kerjasama Rencana Evakuasi" prompt="Ada_x000a_Tidak Ada" sqref="F1302" xr:uid="{00000000-0002-0000-0200-00005D020000}">
      <formula1>IF(OR(F1299="",F1299="tidak ada"),tidakada,adatidak)</formula1>
    </dataValidation>
    <dataValidation type="list" showInputMessage="1" showErrorMessage="1" promptTitle="AlokasiAnggaran Rencana Evakuasi" prompt="Ada_x000a_Tidak Ada" sqref="F1301" xr:uid="{00000000-0002-0000-0200-00005E020000}">
      <formula1>IF(OR(F1299="",F1299="tidak ada"),tidakada,adatidak)</formula1>
    </dataValidation>
    <dataValidation type="list" showInputMessage="1" showErrorMessage="1" promptTitle="Manfaat Rencana Evakuasi" prompt="Ada_x000a_Tidak Ada" sqref="F1300" xr:uid="{00000000-0002-0000-0200-00005F020000}">
      <formula1>IF(OR(F1299="",F1299="tidak ada"),tidakada,adatidak)</formula1>
    </dataValidation>
    <dataValidation type="list" showInputMessage="1" showErrorMessage="1" promptTitle="Kerjasama Peringatan Bahaya" prompt="Ada_x000a_Tidak Ada" sqref="F1297" xr:uid="{00000000-0002-0000-0200-000060020000}">
      <formula1>IF(OR(F1294="",F1294="tidak ada"),tidakada,adatidak)</formula1>
    </dataValidation>
    <dataValidation type="list" showInputMessage="1" showErrorMessage="1" promptTitle="Anggaran Peringatan Bahaya" prompt="Ada_x000a_Tidak Ada" sqref="F1296" xr:uid="{00000000-0002-0000-0200-000061020000}">
      <formula1>IF(OR(F1294="",F1294="tidak ada"),tidakada,adatidak)</formula1>
    </dataValidation>
    <dataValidation type="list" showInputMessage="1" showErrorMessage="1" error="Cek Kuesioner Indeks Desa" promptTitle="Anggarn Penyebarluasan Peringatn" prompt="Ada_x000a_Tidak Ada" sqref="F1292" xr:uid="{00000000-0002-0000-0200-000062020000}">
      <formula1>IF(OR(F1290="",F1290="tidak ada"),tidakada,adatidak)</formula1>
    </dataValidation>
    <dataValidation type="list" showInputMessage="1" showErrorMessage="1" error="Cek Kuesioner Indeks Desa" promptTitle="Difabel Terjangkau Peringatan !!" prompt="Ada_x000a_Tidak Ada" sqref="F1291" xr:uid="{00000000-0002-0000-0200-000063020000}">
      <formula1>IF(OR(F1290="",F1290="tidak ada"),tidakada,adatidak)</formula1>
    </dataValidation>
    <dataValidation type="list" showInputMessage="1" showErrorMessage="1" promptTitle="Alokasi Anggaran Pengkajian Rsko" prompt="Ada_x000a_Tidak Ada" sqref="F1273" xr:uid="{00000000-0002-0000-0200-000064020000}">
      <formula1>IF(OR(F1271="",F1271="tidak ada"),tidakada,adatidak)</formula1>
    </dataValidation>
    <dataValidation type="list" showInputMessage="1" showErrorMessage="1" promptTitle="Manfaat Pengkajian Risiko" prompt="Ada_x000a_Tidak Ada" sqref="F1272" xr:uid="{00000000-0002-0000-0200-000065020000}">
      <formula1>IF(OR(F1271="",F1271="tidak ada"),tidakada,adatidak)</formula1>
    </dataValidation>
    <dataValidation type="list" showInputMessage="1" showErrorMessage="1" promptTitle="Bumdesa Perdagangan Bid P'Kebun" prompt="Ada_x000a_Tidak Ada" sqref="F1202" xr:uid="{00000000-0002-0000-0200-000066020000}">
      <formula1>IF(OR(F1199="",F1199="tidak ada"),tidakada,adatidak)</formula1>
    </dataValidation>
    <dataValidation type="list" showInputMessage="1" showErrorMessage="1" promptTitle="Bumdesa Perdagangan Bid P'Tanian" prompt="Ada_x000a_Tidak Ada" sqref="F1200" xr:uid="{00000000-0002-0000-0200-000067020000}">
      <formula1>IF(OR(F1199="",F1199="tidak ada"),tidakada,adatidak)</formula1>
    </dataValidation>
    <dataValidation type="whole" showInputMessage="1" showErrorMessage="1" error="Tidak Terdapat Gudang Pangan Milik Pribadi di Desa._x000a_Diisi 0 (NOL)" promptTitle="Jlh Gudang Pangan Swasta" prompt="(Unit)_x000a_Diisi Angka" sqref="F1179" xr:uid="{00000000-0002-0000-0200-000068020000}">
      <formula1>IF(F1178="Ada",1,0)</formula1>
      <formula2>IF(OR(F1178="",F1178="tidak ada"),0,50)</formula2>
    </dataValidation>
    <dataValidation type="decimal" showInputMessage="1" showErrorMessage="1" error="Tidak Terdapat Gudang Pangan Milik Pribadi di Desa._x000a_Diisi 0 (NOL)" promptTitle="Kapasitas Gudang Pangan Pribadi" prompt="(Ton)_x000a_Diisi Angka" sqref="F1177" xr:uid="{00000000-0002-0000-0200-000069020000}">
      <formula1>IF(F1175="Ada",0.01,0)</formula1>
      <formula2>IF(OR(F1175="",F1175="Tidak ada"),0,50)</formula2>
    </dataValidation>
    <dataValidation type="decimal" showInputMessage="1" showErrorMessage="1" promptTitle="Unggulan obat 1 Pasar Ekspor" prompt="(Ton)_x000a_Jika tidak ada diisi Nol &quot; 0 &quot;" sqref="F1104" xr:uid="{00000000-0002-0000-0200-00006A020000}">
      <formula1>IF(F1103&lt;&gt;"Tidak ada",0.01,0)</formula1>
      <formula2>IF(OR(F1103="",F1103="Tidak Ada",F1103=0),0,25000)</formula2>
    </dataValidation>
    <dataValidation type="decimal" showInputMessage="1" showErrorMessage="1" promptTitle="Unggulan Sayur 2 Pasar Ekspor" prompt="(Ton)_x000a_Jika tidak ada diisi Nol &quot; 0 &quot;" sqref="F1100" xr:uid="{00000000-0002-0000-0200-00006B020000}">
      <formula1>IF(F1099&lt;&gt;"Tidak ada",0.01,0)</formula1>
      <formula2>IF(OR(F1099="",F1099="Tidak Ada",F1099=0),0,25000)</formula2>
    </dataValidation>
    <dataValidation type="decimal" showInputMessage="1" showErrorMessage="1" promptTitle="Unggulan Sayuran 1 Pasar Ekspor" prompt="(Ton)_x000a_Jika tidak ada diisi Nol &quot; 0 &quot;" sqref="F1097" xr:uid="{00000000-0002-0000-0200-00006C020000}">
      <formula1>IF(F1096&lt;&gt;"Tidak ada",0.01,0)</formula1>
      <formula2>IF(OR(F1096="",F1096="Tidak Ada",F1096=0),0,25000)</formula2>
    </dataValidation>
    <dataValidation type="decimal" showInputMessage="1" showErrorMessage="1" promptTitle="Unggulan Buah 2 Pasar Ekspor" prompt="(Ton)_x000a_Jika tidak ada diisi Nol &quot; 0 &quot;" sqref="F1093" xr:uid="{00000000-0002-0000-0200-00006D020000}">
      <formula1>IF(F1092&lt;&gt;"Tidak ada",0.01,0)</formula1>
      <formula2>IF(OR(F1092="",F1092="Tidak Ada",F1092=0),0,25000)</formula2>
    </dataValidation>
    <dataValidation type="decimal" showInputMessage="1" showErrorMessage="1" promptTitle="Unnggulan Buah 1 Pasar Ekspor" prompt="(Ton)_x000a_Jika tidak ada diisi Nol &quot; 0 &quot;" sqref="F1090" xr:uid="{00000000-0002-0000-0200-00006E020000}">
      <formula1>IF(F1089&lt;&gt;"Tidak ada",0.01,0)</formula1>
      <formula2>IF(OR(F1089="",F1089="Tidak Ada",F1089=0),0,25000)</formula2>
    </dataValidation>
    <dataValidation type="decimal" showInputMessage="1" showErrorMessage="1" promptTitle="Unggupan Pangan 2 Pasar Ekspor" prompt="(Ton)_x000a_Jika tidak ada diisi Nol &quot; 0 &quot;" sqref="F1086" xr:uid="{00000000-0002-0000-0200-00006F020000}">
      <formula1>IF(F1085&lt;&gt;"Tidak ada",0.01,0)</formula1>
      <formula2>IF(OR(F1085="",F1085="Tidak Ada",F1085=0),0,25000)</formula2>
    </dataValidation>
    <dataValidation type="decimal" showInputMessage="1" showErrorMessage="1" promptTitle="Unggulan Pangan 1 Pasar Ekspor" prompt="(Ton)_x000a_Jika tidak ada diisi Nol &quot; 0 &quot;" sqref="F1083" xr:uid="{00000000-0002-0000-0200-000070020000}">
      <formula1>IF(F1082&lt;&gt;"Tidak ada",0.01,0)</formula1>
      <formula2>IF(OR(F1082="",F1082="Tidak Ada",F1082=0),0,25000)</formula2>
    </dataValidation>
    <dataValidation type="decimal" showInputMessage="1" showErrorMessage="1" promptTitle="Unggulan Obat 2 Pasar Modern" prompt="(Ton)_x000a_Jika tidak ada diisi Nol &quot; 0 &quot;" sqref="F1078" xr:uid="{00000000-0002-0000-0200-000071020000}">
      <formula1>IF(F1077&lt;&gt;"Tidak ada",0.01,0)</formula1>
      <formula2>IF(OR(F1077="",F1077="Tidak Ada",F1077=0),0,25000)</formula2>
    </dataValidation>
    <dataValidation type="decimal" showInputMessage="1" showErrorMessage="1" promptTitle="Unggulan Obat 1 Pasar Modern" prompt="(Ton)_x000a_Jika tidak ada diisi Nol &quot; 0 &quot;" sqref="F1075" xr:uid="{00000000-0002-0000-0200-000072020000}">
      <formula1>IF(F1074&lt;&gt;"Tidak ada",0.01,0)</formula1>
      <formula2>IF(OR(F1074="",F1074="Tidak Ada",F1074=0),0,25000)</formula2>
    </dataValidation>
    <dataValidation type="decimal" showInputMessage="1" showErrorMessage="1" promptTitle="Unggulan Sayur 2 Pasar Modern" prompt="(Ton)_x000a_Jika tidak ada diisi nol ( 0 )" sqref="F1071" xr:uid="{00000000-0002-0000-0200-000073020000}">
      <formula1>IF(F1070&lt;&gt;"Tidak ada",0.01,0)</formula1>
      <formula2>IF(OR(F1070="",F1070="Tidak Ada",F1070=0),0,25000)</formula2>
    </dataValidation>
    <dataValidation type="decimal" showInputMessage="1" showErrorMessage="1" promptTitle="Unggulan Sayur 1 Pasar Modern" prompt="(Ton)_x000a_Jika tidak ada diisi nol ( 0 )" sqref="F1068" xr:uid="{00000000-0002-0000-0200-000074020000}">
      <formula1>IF(F1067&lt;&gt;"Tidak ada",0.01,0)</formula1>
      <formula2>IF(OR(F1067="",F1067="Tidak Ada",F1067=0),0,25000)</formula2>
    </dataValidation>
    <dataValidation type="decimal" showInputMessage="1" showErrorMessage="1" promptTitle="Unggulan Buah 2 Pasar Modern" prompt="(Ton)_x000a_Jika Tidak Ada diisi Nol &quot; 0 &quot;" sqref="F1064" xr:uid="{00000000-0002-0000-0200-000075020000}">
      <formula1>IF(F1063&lt;&gt;"Tidak ada",0.01,0)</formula1>
      <formula2>IF(OR(F1063="",F1063="Tidak Ada",F1063=0),0,25000)</formula2>
    </dataValidation>
    <dataValidation type="decimal" showInputMessage="1" showErrorMessage="1" promptTitle="Unggu;an Buah 1 Pasar Modern" prompt="(Ton)_x000a_Jika Tidak Ada diisi Nol &quot; 0 &quot;" sqref="F1061" xr:uid="{00000000-0002-0000-0200-000076020000}">
      <formula1>IF(F1060&lt;&gt;"Tidak ada",0.01,0)</formula1>
      <formula2>IF(OR(F1060="",F1060="Tidak Ada",F1060=0),0,25000)</formula2>
    </dataValidation>
    <dataValidation type="decimal" showInputMessage="1" showErrorMessage="1" promptTitle="Unggulan Pangan 2 Pasar Modern" prompt="(Ton)_x000a_jika tidak ada diisi nol &quot; 0 &quot;" sqref="F1057" xr:uid="{00000000-0002-0000-0200-000077020000}">
      <formula1>IF(F1056&lt;&gt;"Tidak ada",0.01,0)</formula1>
      <formula2>IF(OR(F1056="",F1056="Tidak Ada",F1056=0),0,25000)</formula2>
    </dataValidation>
    <dataValidation type="decimal" showInputMessage="1" showErrorMessage="1" promptTitle="Pangan Unggulan 1 Pasar Modern" prompt="(Ton)_x000a_jika tidak ada diisi nol &quot; 0 &quot;" sqref="F1054" xr:uid="{00000000-0002-0000-0200-000078020000}">
      <formula1>IF(F1053&lt;&gt;"Tidak ada",0.01,0)</formula1>
      <formula2>IF(OR(F1053="",F1053="Tidak Ada",F1053=0),0,25000)</formula2>
    </dataValidation>
    <dataValidation type="list" showInputMessage="1" showErrorMessage="1" promptTitle="Kerjasama Desa Plindungn Keamann" prompt="Ada_x000a_Tidak Ada" sqref="F722" xr:uid="{00000000-0002-0000-0200-000079020000}">
      <formula1>IF(OR(F719="",F719="tidak ada"),tidakada,adatidak)</formula1>
    </dataValidation>
    <dataValidation type="textLength" showInputMessage="1" showErrorMessage="1" promptTitle="Nomor SK Desa Wisata " prompt="Jika Tidak Ada diisi tanda &quot; - &quot;" sqref="F331 F322 F313 F304 F295 F285 F276 F267 F258 F248 F239 F230 F221 F212 F203 F194 F185" xr:uid="{00000000-0002-0000-0200-00007A020000}">
      <formula1>1</formula1>
      <formula2>IF(OR(F182="",F182="tidak ada"),1,20)</formula2>
    </dataValidation>
    <dataValidation type="textLength" showInputMessage="1" showErrorMessage="1" promptTitle="Aktivitas Wisata " prompt="Jika Tidak Ada diisi tanda &quot; - &quot;" sqref="F330 F321 F312 F303 F294 F284 F275 F266 F257 F247 F238 F229 F220 F211 F202 F193 F184" xr:uid="{00000000-0002-0000-0200-00007B020000}">
      <formula1>1</formula1>
      <formula2>IF(OR(F182="",F182="tidak ada"),1,20)</formula2>
    </dataValidation>
    <dataValidation type="list" showInputMessage="1" showErrorMessage="1" promptTitle="Kerjasama Uji Kesiapsiagaan" prompt="Ada_x000a_Tidak Ada" sqref="F1317" xr:uid="{00000000-0002-0000-0200-00007C020000}">
      <formula1>IF(OR(F1314="",F1314="tidak ada"),tidakada,adatidak)</formula1>
    </dataValidation>
    <dataValidation type="list" showInputMessage="1" showErrorMessage="1" promptTitle="Manfaat Mitigasi Bencana" prompt="Ada_x000a_Tidak Ada" sqref="F1320" xr:uid="{00000000-0002-0000-0200-00007D020000}">
      <formula1>IF(OR(F1319="",F1319="tidak ada"),tidakada,adatidak)</formula1>
    </dataValidation>
    <dataValidation type="whole" showInputMessage="1" showErrorMessage="1" error="Tidak Terdapat Gudang Pangan Milik Pribadi di Desa._x000a_Diisi 0 (NOL)" promptTitle="Jlh Gudang Pangan Pribadi" prompt="Diisi Angka" sqref="F1176" xr:uid="{00000000-0002-0000-0200-00007E020000}">
      <formula1>IF(F1175="Ada",1,0)</formula1>
      <formula2>IF(OR(F1175="",F1175="tidak ada"),0,50)</formula2>
    </dataValidation>
    <dataValidation type="decimal" showInputMessage="1" showErrorMessage="1" error="Tidak Terdapat Gudang Pangan Milik Pribadi di Desa._x000a_Diisi 0 (NOL)" promptTitle="Kapasitas Gudang Pangan Swasta" prompt="(Ton)_x000a_Diisi Angka" sqref="F1180" xr:uid="{00000000-0002-0000-0200-00007F020000}">
      <formula1>IF(F1178="Ada",0.01,0)</formula1>
      <formula2>IF(OR(F1178="",F1178="Tidak ada"),0,50)</formula2>
    </dataValidation>
    <dataValidation type="textLength" showInputMessage="1" showErrorMessage="1" promptTitle="Pengguna Bagi Hasil Lainnya" prompt="Jika Tidak Ada diisi tanda  &quot; - &quot;" sqref="F1013" xr:uid="{00000000-0002-0000-0200-000080020000}">
      <formula1>1</formula1>
      <formula2>IF(OR(F1012="",F1012&lt;&gt;6),1,20)</formula2>
    </dataValidation>
    <dataValidation type="list" showInputMessage="1" showErrorMessage="1" promptTitle="Sosialisasi Internet Sehat" prompt="Sosialisasi Internet Sehat ke Penduduk_x000a_Sudah_x000a_Belum" sqref="F654" xr:uid="{00000000-0002-0000-0200-000081020000}">
      <formula1>IF(OR(F653="",F653="Tidak ada"),belum,sudahbelum)</formula1>
    </dataValidation>
    <dataValidation type="list" showInputMessage="1" showErrorMessage="1" error="Cek Kuesioner Indeks Desa" promptTitle="Kerjsama Penyebarluasn Peringatn" prompt="Ada_x000a_Tidak Ada" sqref="F1293" xr:uid="{00000000-0002-0000-0200-000082020000}">
      <formula1>IF(OR(F1290="",F1290="tidak ada"),tidakada,adatidak)</formula1>
    </dataValidation>
    <dataValidation type="list" showInputMessage="1" showErrorMessage="1" promptTitle="Total Anggaran 5 Sumber Swasta" prompt="Tidak Ada_x000a_0 - 450jt_x000a_&gt;450jt - 1 M_x000a_&gt;1M - 2M_x000a_&gt;2M - 3M_x000a_&gt;3M" sqref="F1490" xr:uid="{00000000-0002-0000-0200-000083020000}">
      <formula1>IF(OR(F1471="",F1471="tidak ada",F1488="Tidak Ada",F1488=""),tidakada,anggaran)</formula1>
    </dataValidation>
    <dataValidation type="textLength" showInputMessage="1" showErrorMessage="1" promptTitle="Nama Program 5 Sumber Swasta" prompt="Jika Tidak Ada diisi &quot; - &quot;" sqref="F1489" xr:uid="{00000000-0002-0000-0200-000084020000}">
      <formula1>IF(F1488="tidak ada",1,4)</formula1>
      <formula2>IF(OR(F1471="",F1471="Tidak Ada",F1488="Tidak Ada",F1488=""),1,100)</formula2>
    </dataValidation>
    <dataValidation type="list" showInputMessage="1" showErrorMessage="1" promptTitle="Jenis Program 5 Sumber Swasta" prompt="Tidak Ada_x000a_Infrastruktur_x000a_Pemberdayaan" sqref="F1488" xr:uid="{00000000-0002-0000-0200-000085020000}">
      <formula1>IF(OR(F1471="",F1471="tidak Ada",F1484="Tidak Ada",F1484=""),tidakada,jenisprogram)</formula1>
    </dataValidation>
    <dataValidation type="list" showInputMessage="1" showErrorMessage="1" promptTitle="Biaya dari Kementerian/ Lembaga" prompt=" " sqref="F1470" xr:uid="{00000000-0002-0000-0200-000086020000}">
      <formula1>IF(OR(F1450="",F1450="tidak ada",F1467="Tidak Ada",F1467=""),tidakada,kl)</formula1>
    </dataValidation>
    <dataValidation type="list" showInputMessage="1" showErrorMessage="1" promptTitle="Total Anggaran 5 Bersumber APBN" prompt="Tidak Ada_x000a_0 - 450jt_x000a_&gt;450jt - 1 M_x000a_&gt;1M - 2M_x000a_&gt;2M - 3M_x000a_&gt;3M" sqref="F1469" xr:uid="{00000000-0002-0000-0200-000087020000}">
      <formula1>IF(OR(F1450="",F1450="tidak ada",F1467="Tidak Ada",F1467=""),tidakada,anggaran)</formula1>
    </dataValidation>
    <dataValidation type="textLength" showInputMessage="1" showErrorMessage="1" promptTitle="Nama Program 5 Bersumber APBN" prompt="Jika Tidak Ada diisi &quot; - &quot;" sqref="F1468" xr:uid="{00000000-0002-0000-0200-000088020000}">
      <formula1>IF(F1467="tidak ada",1,10)</formula1>
      <formula2>IF(OR(F1450="",F1450="Tidak Ada",F1467="Tidak Ada",F1467=""),1,100)</formula2>
    </dataValidation>
    <dataValidation type="list" showInputMessage="1" showErrorMessage="1" promptTitle="Jenis Program 5 Bersumber APBN" prompt="Tidak Ada_x000a_Infrastruktur_x000a_Pemberdayaan" sqref="F1467" xr:uid="{00000000-0002-0000-0200-000089020000}">
      <formula1>IF(OR(F1450="",F1450="tidak Ada",F1463="Tidak Ada",F1463=""),tidakada,jenisprogram)</formula1>
    </dataValidation>
    <dataValidation type="list" showInputMessage="1" showErrorMessage="1" promptTitle="Total Anggaran 5 APBD Provinsi" prompt="Tidak Ada_x000a_0 - 450jt_x000a_&gt;450jt - 1 M_x000a_&gt;1M - 2M_x000a_&gt;2M - 3M_x000a_&gt;3M" sqref="F1449" xr:uid="{00000000-0002-0000-0200-00008A020000}">
      <formula1>IF(OR(F1434="",F1434="tidak ada",F1447="",F1447="Tidak Ada"),tidakada,anggaran)</formula1>
    </dataValidation>
    <dataValidation type="textLength" showInputMessage="1" showErrorMessage="1" promptTitle="Nama Program 5 APBD Provinsi" prompt="Jika Tidak Ada diisi &quot; - &quot;" sqref="F1448" xr:uid="{00000000-0002-0000-0200-00008B020000}">
      <formula1>IF(F1447="tidak ada",1,10)</formula1>
      <formula2>IF(OR(F1434="",F1434="Tidak Ada",F1447="Tidak Ada",F1447=""),1,100)</formula2>
    </dataValidation>
    <dataValidation type="list" showInputMessage="1" showErrorMessage="1" promptTitle="Jenis Program 5 APBD Provinsi" prompt="Tidak Ada_x000a_Infrastruktur_x000a_Pemberdayaan" sqref="F1447" xr:uid="{00000000-0002-0000-0200-00008C020000}">
      <formula1>IF(OR(F1434="",F1434="tidak Ada",F1444="",F1444="Tidak Ada"),tidakada,jenisprogram)</formula1>
    </dataValidation>
    <dataValidation type="list" showInputMessage="1" showErrorMessage="1" promptTitle="Total Anggaran 5 APBD Kab/Kota" prompt="Tidak Ada_x000a_0 - 450jt_x000a_&gt;450jt - 1 M_x000a_&gt;1M - 2M_x000a_&gt;2M - 3M_x000a_&gt;3M" sqref="F1433" xr:uid="{00000000-0002-0000-0200-00008D020000}">
      <formula1>IF(OR(F1418="",F1418="tidak ada",F1431="Tidak Ada",F1431=""),tidakada,anggaran)</formula1>
    </dataValidation>
    <dataValidation type="textLength" showInputMessage="1" showErrorMessage="1" promptTitle="Nama Program 5 APBD Kab/Kota" prompt="Jika Tidak Ada diisi &quot; - &quot;" sqref="F1432" xr:uid="{00000000-0002-0000-0200-00008E020000}">
      <formula1>IF(F1431="tidak ada",1,10)</formula1>
      <formula2>IF(OR(F1418="",F1418="Tidak Ada",F1431="",F1431="Tidak Ada"),1,100)</formula2>
    </dataValidation>
    <dataValidation type="list" showInputMessage="1" showErrorMessage="1" promptTitle="Jenis Program 5  APBD Kab/Kota" prompt="Tidak Ada_x000a_Infrastruktur_x000a_Pemberdayaan" sqref="F1431" xr:uid="{00000000-0002-0000-0200-00008F020000}">
      <formula1>IF(OR(F1418="",F1418="tidak Ada",F1428="",F1428="Tidak Ada"),tidakada,jenisprogram)</formula1>
    </dataValidation>
    <dataValidation type="whole" showInputMessage="1" showErrorMessage="1" error="Jika Tidak Ada diisi &quot; 0 &quot;" promptTitle="Tanggal Hari Jadi Desa" prompt="Isi Tgl 1 - 31 _x000a_Jika Tidak Ada diisi &quot;0&quot;" sqref="F95" xr:uid="{00000000-0002-0000-0200-000090020000}">
      <formula1>IF(F94="Tidak Ada",0,1)</formula1>
      <formula2>IF(F94="Tidak Ada",0,IF(F94="februari",28,IF(OR(F95="januari",F95="maret",F95="mei",F95="juli",F95="agustus",F95="oktober",F95="desember"),31,30)))</formula2>
    </dataValidation>
    <dataValidation type="list" showInputMessage="1" showErrorMessage="1" promptTitle="Alokasi Anggaran Kel. P Bencana" prompt="Ada_x000a_Tidak Ada" sqref="F66" xr:uid="{00000000-0002-0000-0200-000091020000}">
      <formula1>IF(OR(F63="",F63="tidak ada"),tidakada,adatidak)</formula1>
    </dataValidation>
    <dataValidation type="list" showInputMessage="1" showErrorMessage="1" promptTitle="Manfaat Kel Penanggulangan Benca" prompt="Ada_x000a_Tidak Ada" sqref="F65" xr:uid="{00000000-0002-0000-0200-000092020000}">
      <formula1>IF(OR(F63="",F63="tidak ada"),tidakada,adatidak)</formula1>
    </dataValidation>
    <dataValidation type="whole" showInputMessage="1" showErrorMessage="1" error="Jika tidak ada kegiatan diisi angka &quot; 0 &quot;_x000a_Jika Terdapat Kelompok min 1 kegiatan" promptTitle="Frek Kelompok Sadar Wisata" prompt="Jika tidak ada kegiatan diisi angka &quot; 0 &quot;" sqref="F62" xr:uid="{00000000-0002-0000-0200-000093020000}">
      <formula1>IF(F61="ada",1,0)</formula1>
      <formula2>IF(OR(F61="",F61="tidak ada"),0,24)</formula2>
    </dataValidation>
    <dataValidation type="whole" showInputMessage="1" showErrorMessage="1" error="Jika tidak ada kegiatan diisi angka &quot; 0 &quot;_x000a_Jika Terdapat Kelompok min 1 kegiatan" promptTitle="Frek Kelompok Khusus Wanita" prompt="Jika tidak ada kegiatan diisi angka &quot; 0 &quot;" sqref="F58" xr:uid="{00000000-0002-0000-0200-000094020000}">
      <formula1>IF(F57="ada",1,0)</formula1>
      <formula2>IF(OR(F57="",F57="tidak ada"),0,24)</formula2>
    </dataValidation>
    <dataValidation type="whole" showInputMessage="1" showErrorMessage="1" error="Jika tidak ada kegiatan diisi angka &quot; 0 &quot;_x000a_Jika Terdapat Kelompok min 1 kegiatan" promptTitle="Frek Kelompok/Lembaga Pengrajin" prompt="Jika tidak ada kegiatan diisi angka &quot; 0 &quot;" sqref="F56" xr:uid="{00000000-0002-0000-0200-000095020000}">
      <formula1>IF(F55="ada",1,0)</formula1>
      <formula2>IF(OR(F55="",F55="tidak ada"),0,24)</formula2>
    </dataValidation>
    <dataValidation type="whole" showInputMessage="1" showErrorMessage="1" error="Jika tidak ada kegiatan diisi angka &quot; 0 &quot;_x000a_Jika Terdapat Kelompok min 1 kegiatan" promptTitle="Frek Kelompok Usaha Ternak" prompt="Jika tidak ada kegiatan diisi angka &quot; 0 &quot;" sqref="F54" xr:uid="{00000000-0002-0000-0200-000096020000}">
      <formula1>IF(F53="ada",1,0)</formula1>
      <formula2>IF(OR(F53="",F53="tidak ada"),0,24)</formula2>
    </dataValidation>
    <dataValidation type="whole" showInputMessage="1" showErrorMessage="1" error="Jika tidak ada kegiatan diisi angka &quot; 0 &quot;_x000a_Jika Terdapat Kelompok min 1 kegiatan" promptTitle="Frek Kelompok/Lembaga Nelayan" prompt="Jika tidak ada kegiatan diisi angka &quot; 0 &quot;" sqref="F52" xr:uid="{00000000-0002-0000-0200-000097020000}">
      <formula1>IF(F51="ada",1,0)</formula1>
      <formula2>IF(OR(F51="",F51="tidak ada"),0,24)</formula2>
    </dataValidation>
    <dataValidation type="list" showInputMessage="1" showErrorMessage="1" promptTitle="Manfaat Peraturan PPPA" prompt="Tidak Ada_x000a_Ada" sqref="F60" xr:uid="{00000000-0002-0000-0200-000098020000}">
      <formula1>IF(OR(F59="",F59="Tidak ada"),tidakada,adatidak)</formula1>
    </dataValidation>
    <dataValidation type="whole" showInputMessage="1" showErrorMessage="1" error="Jika tidak ada kegiatan diisi angka &quot; 0 &quot;_x000a_Jika Terdapat Kelompok min 1 kegiatan" promptTitle="Frek Kel. Penanggulangan Bencana" prompt="Jika tidak ada kegiatan diisi angka &quot; 0 &quot;" sqref="F64" xr:uid="{00000000-0002-0000-0200-000099020000}">
      <formula1>IF(F63="ada",1,0)</formula1>
      <formula2>IF(OR(F63="",F63="tidak ada"),0,24)</formula2>
    </dataValidation>
    <dataValidation type="whole" showInputMessage="1" showErrorMessage="1" error="Jika tidak ada kegiatan diisi angka &quot; 0 &quot;_x000a_Jika Terdapat Kelompok min 1 kegiatan" promptTitle="Frek Kelompok/Lembaga Tani" prompt="Jika tidak ada kegiatan diisi angka &quot; 0 &quot;" sqref="F50" xr:uid="{00000000-0002-0000-0200-00009A020000}">
      <formula1>IF(F49="ada",1,0)</formula1>
      <formula2>IF(OR(F49="",F49="tidak ada"),0,52)</formula2>
    </dataValidation>
    <dataValidation type="list" showInputMessage="1" showErrorMessage="1" promptTitle="Jenis Kelamin Kaur TU dan Umum" prompt="Laki- Laki_x000a_Perempuan" sqref="F25" xr:uid="{00000000-0002-0000-0200-00009B020000}">
      <formula1>IF(OR(F23="",F23="Tidak Ada"),strip,kelamin)</formula1>
    </dataValidation>
    <dataValidation type="list" showInputMessage="1" showErrorMessage="1" promptTitle="Jenis Kelamin Kasi Kesejahteraan" prompt="Laki- Laki_x000a_Perempuan" sqref="F21 F18" xr:uid="{00000000-0002-0000-0200-00009C020000}">
      <formula1>IF(OR(F16="",F16="Tidak Ada"),strip,kelamin)</formula1>
    </dataValidation>
    <dataValidation type="list" showInputMessage="1" showErrorMessage="1" promptTitle="Jenis Kelamin Kasi Pemerintahan" prompt="Laki- Laki_x000a_Perempuan" sqref="F15" xr:uid="{00000000-0002-0000-0200-00009D020000}">
      <formula1>IF(OR(F13="",F13="Tidak Ada"),strip,kelamin)</formula1>
    </dataValidation>
    <dataValidation type="list" showInputMessage="1" showErrorMessage="1" promptTitle="Kondisi Jembatan Gantung di desa" prompt="Tidak Ada_x000a_Rusak, Tidak Bisa dilalui_x000a_Rusak, Bisa lalui_x000a_Baik" sqref="F1367" xr:uid="{00000000-0002-0000-0200-00009E020000}">
      <formula1>IF(OR(F1366="",F1366="Tidak Ada"),tidakada,jembatan)</formula1>
    </dataValidation>
    <dataValidation type="list" showInputMessage="1" showErrorMessage="1" promptTitle="Kerjasama Rencana Membangun Baik" prompt="Ada_x000a_Tidak Ada" sqref="F1362" xr:uid="{00000000-0002-0000-0200-00009F020000}">
      <formula1>IF(OR(F1359="",F1359="tidak ada"),tidakada,adatidak)</formula1>
    </dataValidation>
    <dataValidation type="list" showInputMessage="1" showErrorMessage="1" promptTitle="Anggaran Rencana Membangun Baik" prompt="Ada_x000a_Tidak Ada" sqref="F1361" xr:uid="{00000000-0002-0000-0200-0000A0020000}">
      <formula1>IF(OR(F1359="",F1359="tidak ada"),tidakada,adatidak)</formula1>
    </dataValidation>
    <dataValidation type="list" showInputMessage="1" showErrorMessage="1" promptTitle="Manfaat Peringatan Bahaya" prompt="Ada_x000a_Tidak Ada" sqref="F1295" xr:uid="{00000000-0002-0000-0200-0000A1020000}">
      <formula1>IF(OR(F1294="",F1294="tidak ada"),tidakada,adatidak)</formula1>
    </dataValidation>
    <dataValidation type="list" showInputMessage="1" showErrorMessage="1" promptTitle="Kerjasama Pengkajian Risiko" prompt="Ada_x000a_Tidak Ada" sqref="F1274" xr:uid="{00000000-0002-0000-0200-0000A2020000}">
      <formula1>IF(OR(F1271="",F1271="tidak ada"),tidakada,adatidak)</formula1>
    </dataValidation>
    <dataValidation type="whole" showInputMessage="1" showErrorMessage="1" promptTitle="Jarak Bank Swasta T'dekat" prompt="(Meter)" sqref="F1262" xr:uid="{00000000-0002-0000-0200-0000A3020000}">
      <formula1>0</formula1>
      <formula2>IF(OR(F1261="tidak ada"),0,150000)</formula2>
    </dataValidation>
    <dataValidation type="textLength" showInputMessage="1" showErrorMessage="1" promptTitle="Bumdesa Perdagangan Bid P'ternak" prompt="(SEBUTKAN)_x000a_Jika Tidak Ada Diisi tanda &quot; - &quot;" sqref="F1205" xr:uid="{00000000-0002-0000-0200-0000A4020000}">
      <formula1>IF(F1204="Ada",4,1)</formula1>
      <formula2>IF(OR(F1204="",F1204="tidak ada"),1,50)</formula2>
    </dataValidation>
    <dataValidation type="textLength" showInputMessage="1" showErrorMessage="1" promptTitle="Bumdesa Perdagangan Bid P'kebun" prompt="(SEBUTKAN)_x000a_Jika Tidak Ada Diisi tanda &quot; - &quot;" sqref="F1203" xr:uid="{00000000-0002-0000-0200-0000A5020000}">
      <formula1>IF(F1202="Ada",4,1)</formula1>
      <formula2>IF(OR(F1202="",F1202="tidak ada"),1,50)</formula2>
    </dataValidation>
    <dataValidation type="list" showInputMessage="1" showErrorMessage="1" error="CEK Produk Unggulan Tanaman Sayur di Desa" promptTitle="Unggulan1 Tanaman Sayur Domestik" prompt="Tidak Ada, Bawang Merah, Bawang Putih, Kubis, Bayam, Kelor, Kangkung, Kol, Selada, Mentimun/Timun/Ketimun, Buncis, Brokoli, Toge, Seledri, Kemangi, Sawi, Cabai Keriting, Cabai Rawit, Cabai Lokal, Pare, Kacang Panjang, Terong, Rebung, Lainnya" sqref="F1067" xr:uid="{00000000-0002-0000-0200-0000A6020000}">
      <formula1>IF(COUNTIF(F891:F936,"Tidak ada")=23,tidakada,sayur)</formula1>
    </dataValidation>
    <dataValidation type="textLength" showInputMessage="1" showErrorMessage="1" promptTitle="Wilayah Tujuan Pasar Domestik" prompt="Sebutkan Nama Pasar dan lokasi Kab/Kota _x000a_Jika Tidak Ada diisi &quot; - &quot;_x000a__x000a_Contoh: Pasar Pabean, Surabaya" sqref="F1079" xr:uid="{00000000-0002-0000-0200-0000A7020000}">
      <formula1>IF(F1076&lt;&gt;"Tidak Ada",4,1)</formula1>
      <formula2>IF(OR(F1078="",F1078=0),1,50)</formula2>
    </dataValidation>
    <dataValidation type="decimal" showInputMessage="1" showErrorMessage="1" promptTitle="Unggulan Obat 2 Pasar Ekspor" prompt="(Ton)_x000a_Jika tidak ada diisi Nol &quot; 0 &quot;" sqref="F1107" xr:uid="{00000000-0002-0000-0200-0000A8020000}">
      <formula1>IF(F1106&lt;&gt;"Tidak ada",0.01,0)</formula1>
      <formula2>IF(OR(F1106="",F1106="Tidak Ada",F1106=0),0,25000)</formula2>
    </dataValidation>
    <dataValidation type="list" showInputMessage="1" showErrorMessage="1" error="CEK Jumlah pasar dengan Tanpa bangunan di Desa" promptTitle="Jlh Pedagang di Pasar Permanen" prompt="&lt;50 Pedagang_x000a_50 - 100 Pedagang_x000a_100 - 200 Pedagang_x000a_&gt;200 Pedagang" sqref="F1050" xr:uid="{00000000-0002-0000-0200-0000A9020000}">
      <formula1>IF(OR(F1049="",F1049=0),nol,pedagang)</formula1>
    </dataValidation>
    <dataValidation type="list" showInputMessage="1" showErrorMessage="1" error="CEK Jumlah pasar dengan bangunan semi permanen di Desa" promptTitle="Jlh Pedagang Pasar Semi Permanen" prompt="&lt;50 Pedagang_x000a_50 - 100 Pedagang_x000a_100 - 200 Pedagang_x000a_&gt;200 Pedagang" sqref="F1048" xr:uid="{00000000-0002-0000-0200-0000AA020000}">
      <formula1>IF(OR(F1047="",F1047=0),nol,pedagang)</formula1>
    </dataValidation>
    <dataValidation type="list" showInputMessage="1" showErrorMessage="1" error="CEK Jumlah pasar dengan bangunan permanen di Desa" promptTitle="Jlh Pedagang di Pasar Permanen" prompt="&lt;50 Pedagang_x000a_50 - 100 Pedagang_x000a_100 - 200 Pedagang_x000a_&gt;200 Pedagang" sqref="F1046" xr:uid="{00000000-0002-0000-0200-0000AB020000}">
      <formula1>IF(OR(F1045="",F1045=0),nol,pedagang)</formula1>
    </dataValidation>
    <dataValidation type="textLength" showInputMessage="1" showErrorMessage="1" promptTitle="Jenis Program Kerja Lainnya" prompt=" " sqref="F1041" xr:uid="{00000000-0002-0000-0200-0000AC020000}">
      <formula1>1</formula1>
      <formula2>IF(OR(F1040="",F1040&lt;&gt;6),1,50)</formula2>
    </dataValidation>
    <dataValidation type="list" showInputMessage="1" showErrorMessage="1" promptTitle="Pengguna Bagi Hasil Luar Kec" prompt="0: Tidak Ada_x000a_1: Pemberdayaan Masyarakat_x000a_2: Pembangunan_x000a_3: Pemerintahan_x000a_4: Budaya/ Agama_x000a_5: Olahraga_x000a_6: Lainnya" sqref="F1012" xr:uid="{00000000-0002-0000-0200-0000AD020000}">
      <formula1>IF(OR(F1005="",F1005="tidak ada"),nol,satuenam)</formula1>
    </dataValidation>
    <dataValidation type="list" showInputMessage="1" showErrorMessage="1" promptTitle="Bagi Hasil Antar Desa Eks PNPM" prompt="0: Tidak Ada_x000a_1: Pemberdayaan Masyarakat_x000a_2: Pembangunan_x000a_3: Pemerintahan_x000a_4: Budaya/ Agama_x000a_5: Olahraga_x000a_6: Lainnya" sqref="F1038" xr:uid="{00000000-0002-0000-0200-0000AE020000}">
      <formula1>IF(OR(F1031="",F1031="tidak ada"),nol,satuenam)</formula1>
    </dataValidation>
    <dataValidation type="decimal" showInputMessage="1" showErrorMessage="1" promptTitle="Persentase Bagi Hasil" prompt=" " sqref="F1037" xr:uid="{00000000-0002-0000-0200-0000AF020000}">
      <formula1>0</formula1>
      <formula2>IF(OR(F1031="tidak ada",F1031=""),0,100)</formula2>
    </dataValidation>
    <dataValidation type="textLength" showInputMessage="1" showErrorMessage="1" promptTitle="Unit Usaha yg dilakukan" prompt=" " sqref="F1036" xr:uid="{00000000-0002-0000-0200-0000B0020000}">
      <formula1>1</formula1>
      <formula2>IF(OR(F1031="tidak ada"),1,50)</formula2>
    </dataValidation>
    <dataValidation type="textLength" showInputMessage="1" showErrorMessage="1" promptTitle="Nomor Peraturan Pembentuk" prompt=" _x000a_" sqref="F1035" xr:uid="{00000000-0002-0000-0200-0000B1020000}">
      <formula1>1</formula1>
      <formula2>IF(OR(F1032="",F1032="tidak aktif"),1,50)</formula2>
    </dataValidation>
    <dataValidation type="textLength" showInputMessage="1" showErrorMessage="1" promptTitle="Dasar Pembentuk BKAD" prompt=" " sqref="F1034" xr:uid="{00000000-0002-0000-0200-0000B2020000}">
      <formula1>1</formula1>
      <formula2>IF(OR(F1032="",F1032="tidak aktif"),1,50)</formula2>
    </dataValidation>
    <dataValidation type="textLength" showInputMessage="1" showErrorMessage="1" promptTitle="Terdapat Buah Mangga Lokal" prompt="Jika Ada, Sebutkan_x000a_Jika Tidak Ada, Diisi tanda &quot; - &quot;" sqref="F849" xr:uid="{00000000-0002-0000-0200-0000B3020000}">
      <formula1>1</formula1>
      <formula2>IF(OR(F848="tidak ada",F848=""),1,20)</formula2>
    </dataValidation>
    <dataValidation type="textLength" showInputMessage="1" showErrorMessage="1" promptTitle="Terdapat Buah Jeruk Lainnya" prompt="Jika Ada, Sebutkan_x000a_Jika Tidak Ada, Diisi tanda &quot; - &quot;" sqref="F832" xr:uid="{00000000-0002-0000-0200-0000B4020000}">
      <formula1>1</formula1>
      <formula2>IF(OR(F831="tidak ada",F831=""),1,20)</formula2>
    </dataValidation>
    <dataValidation type="list" showInputMessage="1" showErrorMessage="1" promptTitle="Aturan Pemdes Difabel Bermanfaat" prompt="Ada_x000a_Tidak Ada" sqref="F768" xr:uid="{00000000-0002-0000-0200-0000B5020000}">
      <formula1>IF(OR(F767="",F767="tidak ada"),tidakada,adatidak)</formula1>
    </dataValidation>
    <dataValidation type="list" showInputMessage="1" showErrorMessage="1" promptTitle="Alokasi Anggaran utk Difabel" prompt="Ada_x000a_Tidak Ada" sqref="F769" xr:uid="{00000000-0002-0000-0200-0000B6020000}">
      <formula1>IF(OR(F767="",F767="tidak ada"),tidakada,adatidak)</formula1>
    </dataValidation>
    <dataValidation type="list" showInputMessage="1" showErrorMessage="1" promptTitle="Alokasi Anggaran Plindungn Aman" prompt="Ada_x000a_Tidak Ada" sqref="F721" xr:uid="{00000000-0002-0000-0200-0000B7020000}">
      <formula1>IF(OR(F719="",F719="tidak ada"),tidakada,adatidak)</formula1>
    </dataValidation>
    <dataValidation type="list" showInputMessage="1" showErrorMessage="1" promptTitle="Manfaat Perlindungan Pemdes" prompt="Ada_x000a_Tidak Ada" sqref="F720" xr:uid="{00000000-0002-0000-0200-0000B8020000}">
      <formula1>IF(OR(F719="",F719="Tidak ada"),tidakada,adatidak)</formula1>
    </dataValidation>
    <dataValidation type="textLength" showInputMessage="1" showErrorMessage="1" promptTitle="Kendala berbasasis Online" prompt="Jika tidak ada diisi &quot; - &quot;" sqref="F673" xr:uid="{00000000-0002-0000-0200-0000B9020000}">
      <formula1>IF(F672="Ada",5,1)</formula1>
      <formula2>IF(OR(F672="",F672="tidak ada"),1,100)</formula2>
    </dataValidation>
    <dataValidation type="textLength" showInputMessage="1" showErrorMessage="1" promptTitle="Layanan Pemerintah Elektronik" prompt="Jika tidak ada diisi tanda &quot; - &quot;" sqref="F668" xr:uid="{00000000-0002-0000-0200-0000BA020000}">
      <formula1>1</formula1>
      <formula2>IF(OR(F667="",F667="Tidak Ada"),1,50)</formula2>
    </dataValidation>
    <dataValidation type="list" showInputMessage="1" showErrorMessage="1" promptTitle="Sosialisasi TIK/Internet Sehat" prompt="Tidak Ada_x000a_1-2 Kali_x000a_&gt;2 Kali" sqref="F655" xr:uid="{00000000-0002-0000-0200-0000BB020000}">
      <formula1>IF(OR(F654="",F654="Belum"),tidakada,sosialisasitik)</formula1>
    </dataValidation>
    <dataValidation type="list" showInputMessage="1" showErrorMessage="1" promptTitle="Jlh Titik Akses Internet Gratis" prompt="Tidak Ada_x000a_&lt;5 Titik Akses_x000a_5-10 Titik Akses_x000a_10-15 Titik Akses_x000a_&gt;15 Titik Akses" sqref="F652" xr:uid="{00000000-0002-0000-0200-0000BC020000}">
      <formula1>IF(OR(F651="",F651="tidak ada"),tidakada,titik)</formula1>
    </dataValidation>
    <dataValidation type="textLength" showInputMessage="1" showErrorMessage="1" promptTitle="Menggunakan Internet Wifi lainny" prompt="jika tidak ada diisi &quot; - &quot;" sqref="F650" xr:uid="{00000000-0002-0000-0200-0000BD020000}">
      <formula1>1</formula1>
      <formula2>IF(OR(F647="",F647="tidak ada"),1,20)</formula2>
    </dataValidation>
    <dataValidation type="textLength" showInputMessage="1" showErrorMessage="1" promptTitle="Sumber air untuk mandi dan Cuci" prompt="Sumber Air Lainnya, Sebutkan" sqref="F617" xr:uid="{00000000-0002-0000-0200-0000BE020000}">
      <formula1>1</formula1>
      <formula2>IF(OR(F616="",F616="tidak ada"),1,50)</formula2>
    </dataValidation>
    <dataValidation type="textLength" showInputMessage="1" showErrorMessage="1" promptTitle="Wilayah Tujuan Domestik/Ekspor" prompt="Sebutkan Nama Wilayah Kab/kota (Domestik)_x000a_Sebutkan Nama Negara (Ekspor)_x000a_Jika Tidak Ada diisi &quot; - &quot;" sqref="F457" xr:uid="{00000000-0002-0000-0200-0000BF020000}">
      <formula1>1</formula1>
      <formula2>IF(OR(F452="",F452="tidak ada"),1,20)</formula2>
    </dataValidation>
    <dataValidation type="textLength" showInputMessage="1" showErrorMessage="1" promptTitle="Wilayah Tujuan Domestik/Ekspor" prompt="Sebutkan Nama Wilayah Kab/kota (Domestik)_x000a_Sebutkan Nama Negara (Ekspor)_x000a_Jika Tidak Ada diisi &quot; - &quot;" sqref="F451 F446 F441 F436 F431 F426 F416" xr:uid="{00000000-0002-0000-0200-0000C0020000}">
      <formula1>1</formula1>
      <formula2>IF(OR(F412="",F412="tidak ada"),1,20)</formula2>
    </dataValidation>
    <dataValidation type="list" operator="lessThanOrEqual" showInputMessage="1" showErrorMessage="1" promptTitle="Tujuan Pasar Hasil Panen " prompt="Domestik (Dalam Negeri)_x000a_Ekspor (Luar Negeri)_x000a__x000a_" sqref="F445 F440 F435 F430 F425 F420 F450 F415" xr:uid="{00000000-0002-0000-0200-0000C1020000}">
      <formula1>IF(OR(F412="",F412="Tidak ada"),tidakada,domestikekspor)</formula1>
    </dataValidation>
    <dataValidation type="textLength" showInputMessage="1" showErrorMessage="1" promptTitle="Wilayah Tujuan Domestik/Ekspor" prompt="Sebutkan Nama Wilayah Kab/kota (Domestik)_x000a_Sebutkan Nama Negara (Ekspor)_x000a_Jika Tidak Ada diisi tanda &quot; - &quot;" sqref="F421" xr:uid="{00000000-0002-0000-0200-0000C2020000}">
      <formula1>1</formula1>
      <formula2>IF(OR(F417="",F417="tidak ada"),1,20)</formula2>
    </dataValidation>
    <dataValidation type="list" allowBlank="1" showInputMessage="1" showErrorMessage="1" promptTitle="Transportasi Menuju Wisata" prompt="Ada_x000a_Tidak ada" sqref="F336" xr:uid="{00000000-0002-0000-0200-0000C3020000}">
      <formula1>IF(OR(F328="",F339="tidak ada"),tidakada,adatidak)</formula1>
    </dataValidation>
    <dataValidation type="list" allowBlank="1" showInputMessage="1" showErrorMessage="1" promptTitle="Panjang Jalan Rusak ke Wisata" prompt="&lt;100 meter_x000a_100-500 meter_x000a_500-1.000 meter_x000a_1.000-1.500 meter_x000a_&gt;1500 meter" sqref="F335 F326 F317 F308 F299 F289 F280 F271 F262 F252 F243 F234 F225 F216 F207 F189" xr:uid="{00000000-0002-0000-0200-0000C4020000}">
      <formula1>IF(OR(F182="",F182="tidak ada"),tidakada,IF(F187="&lt;500 meter",k5ratus,L5ratus))</formula1>
    </dataValidation>
    <dataValidation type="list" showInputMessage="1" showErrorMessage="1" promptTitle="Kondisi Jalan Menuju Wisata" prompt="- Tidak Ada_x000a_- Tanah_x000a_- Diperkeras (kerikil, batu, dll)/ Jalan Terapung Kayu (semi permanen)_x000a_- Aspal/beton/Jalan Terapung Permanen" sqref="F334 F325 F316 F307 F298 F288 F279 F270 F261 F251 F242 F233 F224 F215 F206 F197 F188" xr:uid="{00000000-0002-0000-0200-0000C5020000}">
      <formula1>IF(OR(F182="",F182="tidak ada"),tidakada,jalanwisata)</formula1>
    </dataValidation>
    <dataValidation type="list" showInputMessage="1" showErrorMessage="1" promptTitle="Jarak menuju desa wisata" prompt="&lt;500 meter_x000a_ 500-2.500 meter_x000a_&gt;2.500 meter" sqref="F333 F324 F315 F306 F297 F287 F278 F269 F260 F250 F241 F232 F223 F214 F205 F196" xr:uid="{00000000-0002-0000-0200-0000C6020000}">
      <formula1>IF(OR(F191="",F191="tidak ada"),tidakada,jarakwisata)</formula1>
    </dataValidation>
    <dataValidation type="list" showInputMessage="1" showErrorMessage="1" promptTitle="Pengelola Wisata di desa" prompt="Pemerintah_x000a_BUMDes_x000a_BUMDesa Bersama_x000a_Pokdarwis_x000a_Pelaku Usaha/ UMKM Lokal_x000a_LSM_x000a_Investor/ Swasta_x000a_Akademisi/ Peneliti_x000a_Lainnya" sqref="F332 F323 F314 F305 F296 F286 F277 F268 F259 F249 F240 F231 F222 F213 F204 F195" xr:uid="{00000000-0002-0000-0200-0000C7020000}">
      <formula1>IF(OR(F191="",F191="tidak ada"),tidakada,kelolawisata)</formula1>
    </dataValidation>
    <dataValidation type="textLength" showInputMessage="1" showErrorMessage="1" promptTitle="Nama Desa Wisata" prompt="Jika Tidak Ada diisi tanda &quot; - &quot;" sqref="F329 F320 F311 F302 F293 F283 F274 F265 F256 F246 F237 F228 F219 F210 F201 F192 F183" xr:uid="{00000000-0002-0000-0200-0000C8020000}">
      <formula1>1</formula1>
      <formula2>IF(OR(F182="",F182="tidak ada"),1,20)</formula2>
    </dataValidation>
    <dataValidation type="list" allowBlank="1" showInputMessage="1" showErrorMessage="1" promptTitle="Transportasi Menuju Wisata" prompt="Ada_x000a_Tidak ada" sqref="F327 F318 F309 F300 F290 F281 F272 F244 F263 F253 F235 F226 F217 F208 F199 F190" xr:uid="{00000000-0002-0000-0200-0000C9020000}">
      <formula1>IF(OR(F182="",F182="tidak ada"),tidakada,adatidak)</formula1>
    </dataValidation>
    <dataValidation type="list" showInputMessage="1" showErrorMessage="1" promptTitle="Penelola Wisata" prompt="Pemerintah_x000a_BUMDes_x000a_BUMDesa Bersama_x000a_Pokdarwis_x000a_Pelaku Usaha/ UMKM Lokal_x000a_LSM_x000a_Investor/ Swasta_x000a_Akademisi/ Peneliti_x000a_Lainnya" sqref="F186" xr:uid="{00000000-0002-0000-0200-0000CA020000}">
      <formula1>IF(OR(F182="",F182="tidak ada"),tidakada,kelolawisata)</formula1>
    </dataValidation>
    <dataValidation type="list" allowBlank="1" showInputMessage="1" showErrorMessage="1" promptTitle="Jarak menuju desa wisata" prompt="&lt;500 meter_x000a_ 500-2.500 meter_x000a_&gt;2.500 meter" sqref="F187" xr:uid="{00000000-0002-0000-0200-0000CB020000}">
      <formula1>IF(OR(F182="",F182="tidak ada"),tidakada,jarakwisata)</formula1>
    </dataValidation>
    <dataValidation type="list" showInputMessage="1" showErrorMessage="1" promptTitle="Kerjasama Pemdes dgn Pihak Lain" prompt="Kerjasama desa dengan pihak lain dalam pengembangan/ peningkatan kelompok/ organisasi penanggulangan bencana_x000a__x000a_Ada_x000a_Tidak Ada" sqref="F67" xr:uid="{00000000-0002-0000-0200-0000CC020000}">
      <formula1>IF(OR(F63="",F63="tidak ada"),tidakada,adatidak)</formula1>
    </dataValidation>
    <dataValidation type="list" showInputMessage="1" showErrorMessage="1" promptTitle="Terdapat Peraturan PPPA" prompt="Tidak Ada_x000a_Ada" sqref="F59" xr:uid="{00000000-0002-0000-0200-0000CD020000}">
      <formula1>IF(OR(F57="",F57="Tidak ada"),tidakada,adatidak)</formula1>
    </dataValidation>
    <dataValidation type="whole" showInputMessage="1" showErrorMessage="1" error="Jika tidak ada kegiatan diisi angka &quot; 0 &quot;_x000a_Jika Terdapat Kelompok min 1 kegiatan" promptTitle="Frek Kelompok/Lembaga Lainnya" prompt="Jika tidak ada kegiatan diisi angka &quot; 0 &quot;" sqref="F70" xr:uid="{00000000-0002-0000-0200-0000CE020000}">
      <formula1>IF(F68="ada",1,0)</formula1>
      <formula2>IF(OR(F68="",F68="tidak ada"),0,24)</formula2>
    </dataValidation>
    <dataValidation type="list" operator="lessThanOrEqual" showInputMessage="1" showErrorMessage="1" error="Desa Bukan Daerah Pesisir dan Tidak Memproduksi Garam._x000a_Cek Kuesioner Indeks Desa Wilayah Topografi Desa" promptTitle="Proses Pembuatan Garam Laut" prompt="Tidak Ada_x000a_Tradisional_x000a_Modern_x000a_Tradisional dan Modern" sqref="F462" xr:uid="{00000000-0002-0000-0200-0000CF020000}">
      <formula1>IF(OR(F461="",F461="tidak ada"),tidakada,tradisional)</formula1>
    </dataValidation>
    <dataValidation type="list" showInputMessage="1" showErrorMessage="1" promptTitle="Layanan Pendampingan Pihak Luar" prompt="Tidak Ada_x000a_Tidak Optimal_x000a_Optimal_x000a_Sangat Optimal" sqref="F100" xr:uid="{00000000-0002-0000-0200-0000D0020000}">
      <formula1>IF(OR(F97="",F97="tidak ada"),tidakada,optimal)</formula1>
    </dataValidation>
    <dataValidation type="whole" showInputMessage="1" showErrorMessage="1" error="Cek MusDes dihadiri Unsur Kelompok Perempuan" promptTitle="Jumlah Perempuan Ikut Musdes" prompt="(diisi angka)" sqref="F86" xr:uid="{00000000-0002-0000-0200-0000D1020000}">
      <formula1>IF(F82="Ada",1,0)</formula1>
      <formula2>IF(OR(F82="tidak ada",F82=""),0,50)</formula2>
    </dataValidation>
    <dataValidation type="whole" showInputMessage="1" showErrorMessage="1" error="Tidak Terdapat Musyawarah Desa._x000a_Jumlah Warga Desa diisi angka &quot; 0 &quot;" promptTitle="Jumlah Warga Ikut MusDesa" prompt="Diisi angka" sqref="F74" xr:uid="{00000000-0002-0000-0200-0000D2020000}">
      <formula1>0</formula1>
      <formula2>IF(OR(F73="",F73="tidak ada"),0,100)</formula2>
    </dataValidation>
    <dataValidation type="list" showInputMessage="1" showErrorMessage="1" promptTitle="Kel. Kepemudaan aktif di desa" prompt="Bidang Pendidikan, _x000a_Bidang Seni Budaya, _x000a_Bidang Pengelolaan Sumber Daya Alam, _x000a_Bidang Lingkungan dan Pariwisata, _x000a_Bidang Pangan, _x000a_Bidang Inovasi Teknologi, _x000a_Lainnya" sqref="F72" xr:uid="{00000000-0002-0000-0200-0000D3020000}">
      <formula1>IF(OR(F71="",F71=0),tidakada,Pemuda)</formula1>
    </dataValidation>
    <dataValidation type="textLength" showInputMessage="1" showErrorMessage="1" promptTitle="Nama Kasi Pemerintahan" prompt="Jika Tidak Ada Diisi &quot; - &quot;" sqref="F14" xr:uid="{00000000-0002-0000-0200-0000D4020000}">
      <formula1>1</formula1>
      <formula2>IF(OR(F13="",F13="Tidak ada"),1,30)</formula2>
    </dataValidation>
    <dataValidation type="list" showInputMessage="1" showErrorMessage="1" promptTitle="Pendampingan dari Luar" prompt="Tidak Ada_x000a_BUMN_x000a_Perguruan Tinggi_x000a_Swasta_x000a_LSM_x000a_Lainnya" sqref="F98" xr:uid="{00000000-0002-0000-0200-0000D5020000}">
      <formula1>IF(OR(F97="",F97="tidak ada"),tidakada,pendampingan)</formula1>
    </dataValidation>
    <dataValidation type="list" showInputMessage="1" showErrorMessage="1" promptTitle="Jlh Institusi yg mendampingi" prompt="0_x000a_1_x000a_2_x000a_&gt;2" sqref="F101" xr:uid="{00000000-0002-0000-0200-0000D6020000}">
      <formula1>IF(OR(F97="",F97="Tidak ada"),nol,satulebihdua)</formula1>
    </dataValidation>
    <dataValidation type="whole" showInputMessage="1" showErrorMessage="1" error="Tidak Melebihi Jumlah POSYANDU" promptTitle="Posyandu Mlakukan Kegiatan /2bln" prompt="Input Menggunakan Angka" sqref="F533" xr:uid="{00000000-0002-0000-0200-0000D7020000}">
      <formula1>0</formula1>
      <formula2>IF(OR(F531="",F531=0),0,F531)</formula2>
    </dataValidation>
    <dataValidation type="decimal" showInputMessage="1" showErrorMessage="1" error="Tidak Terdapat Gudang Pangan Milik Pribadi di Desa._x000a_Diisi 0 (NOL)" promptTitle="Kapasitas Gudang Pangan Pemerint" prompt="(Ton)_x000a_Diisi Angka" sqref="F1183" xr:uid="{00000000-0002-0000-0200-0000D8020000}">
      <formula1>IF(F1181="Ada",0.01,0)</formula1>
      <formula2>IF(OR(F1181="",F1181="Tidak ada"),0,50)</formula2>
    </dataValidation>
    <dataValidation type="whole" showInputMessage="1" showErrorMessage="1" error="Tidak Terdapat Gudang Pangan Milik Pribadi di Desa._x000a_Diisi 0 (NOL)" promptTitle="Jlh Gudang Pangan Pemerintah" prompt="(Unit)_x000a_Diisi Angka" sqref="F1182" xr:uid="{00000000-0002-0000-0200-0000D9020000}">
      <formula1>IF(F1181="Ada",1,0)</formula1>
      <formula2>IF(OR(F1181="",F1181="tidak ada"),0,50)</formula2>
    </dataValidation>
    <dataValidation type="list" showInputMessage="1" showErrorMessage="1" promptTitle="Status Kelola Pkebunan Tembakau" prompt="Tidak Ada_x000a_Pemerintah_x000a_BUMN_x000a_BUMD_x000a_Pemerintah Desa_x000a_Kelompok Tani_x000a_Investor/Swasta_x000a_Perorangan_x000a_Lainnya" sqref="F448" xr:uid="{00000000-0002-0000-0200-0000DA020000}">
      <formula1>IF(OR(F447="",F447="tidak ada"),tidakada,kebun)</formula1>
    </dataValidation>
    <dataValidation type="decimal" showInputMessage="1" showErrorMessage="1" error="Tidak terdapat Perkebunan Tebu._x000a_Diisi 0 (NOL)" promptTitle="Total Produksi dalam 1 Tahun" prompt="Sebutkan (Satuan Ton)_x000a_" sqref="F444" xr:uid="{00000000-0002-0000-0200-0000DB020000}">
      <formula1>0</formula1>
      <formula2>IF(OR(F442="",F442="Tidak ada"),0,10000)</formula2>
    </dataValidation>
    <dataValidation type="list" showInputMessage="1" showErrorMessage="1" promptTitle="Status Kelola Perkebunan Tebu " prompt="Tidak Ada_x000a_Pemerintah_x000a_BUMN_x000a_BUMD_x000a_Pemerintah Desa_x000a_Kelompok Tani_x000a_Investor/Swasta_x000a_Perorangan_x000a_Lainnya" sqref="F443" xr:uid="{00000000-0002-0000-0200-0000DC020000}">
      <formula1>IF(OR(F442="",F442="tidak ada"),tidakada,kebun)</formula1>
    </dataValidation>
    <dataValidation type="decimal" showInputMessage="1" showErrorMessage="1" error="Tidak terdapat Perkebunan Kina._x000a_Diisi 0 (NOL)" promptTitle="Total Produksi dalam 1 Tahun" prompt="Sebutkan (Satuan Ton)_x000a_" sqref="F439" xr:uid="{00000000-0002-0000-0200-0000DD020000}">
      <formula1>0</formula1>
      <formula2>IF(OR(F437="",F437="Tidak ada"),0,10000)</formula2>
    </dataValidation>
    <dataValidation type="list" showInputMessage="1" showErrorMessage="1" promptTitle="Status Kelola Perkebunan Kina " prompt="Tidak Ada_x000a_Pemerintah_x000a_BUMN_x000a_BUMD_x000a_Pemerintah Desa_x000a_Kelompok Tani_x000a_Investor/Swasta_x000a_Perorangan_x000a_Lainnya" sqref="F438" xr:uid="{00000000-0002-0000-0200-0000DE020000}">
      <formula1>IF(OR(F437="",F437="tidak ada"),tidakada,kebun)</formula1>
    </dataValidation>
    <dataValidation type="decimal" showInputMessage="1" showErrorMessage="1" error="Tidak terdapat Perkebunan Teh._x000a_Diisi 0 (NOL)" promptTitle="Total Produksi dalam 1 Tahun" prompt="Sebutkan (Satuan Ton)_x000a_" sqref="F434" xr:uid="{00000000-0002-0000-0200-0000DF020000}">
      <formula1>0</formula1>
      <formula2>IF(OR(F432="",F432="Tidak ada"),0,10000)</formula2>
    </dataValidation>
    <dataValidation type="list" allowBlank="1" showInputMessage="1" showErrorMessage="1" promptTitle="Status Kelola Perkebunan Teh " prompt="Tidak Ada_x000a_Pemerintah_x000a_BUMN_x000a_BUMD_x000a_Pemerintah Desa_x000a_Kelompok Tani_x000a_Investor/Swasta_x000a_Perorangan_x000a_Lainnya" sqref="F433" xr:uid="{00000000-0002-0000-0200-0000E0020000}">
      <formula1>IF(OR(F432="",F432="tidak ada"),tidakada,kebun)</formula1>
    </dataValidation>
    <dataValidation type="decimal" showInputMessage="1" showErrorMessage="1" error="Tidak terdapat Perkebunan Kopi._x000a_Diisi 0 (NOL)" promptTitle="Total Produksi dalam 1 Tahun" prompt="Sebutkan (Satuan Ton)_x000a_" sqref="F429" xr:uid="{00000000-0002-0000-0200-0000E1020000}">
      <formula1>0</formula1>
      <formula2>IF(OR(F427="",F427="Tidak ada"),0,10000)</formula2>
    </dataValidation>
    <dataValidation type="list" showInputMessage="1" showErrorMessage="1" promptTitle="Status Kelola Perkebunan Kopi " prompt="Tidak Ada_x000a_Pemerintah_x000a_BUMN_x000a_BUMD_x000a_Pemerintah Desa_x000a_Kelompok Tani_x000a_Investor/Swasta_x000a_Perorangan_x000a_Lainnya" sqref="F428" xr:uid="{00000000-0002-0000-0200-0000E2020000}">
      <formula1>IF(OR(F427="",F427="tidak ada"),tidakada,kebun)</formula1>
    </dataValidation>
    <dataValidation type="decimal" showInputMessage="1" showErrorMessage="1" error="Tidak terdapat Perkebunan Coklat/Kakao._x000a_Diisi 0 (NOL)" promptTitle="Total Produksi dalam 1 Tahun" prompt="Sebutkan (Satuan Ton)_x000a_" sqref="F424" xr:uid="{00000000-0002-0000-0200-0000E3020000}">
      <formula1>0</formula1>
      <formula2>IF(OR(F422="",F422="Tidak ada"),0,10000)</formula2>
    </dataValidation>
    <dataValidation type="list" showInputMessage="1" showErrorMessage="1" error="Tidak Terdapat Perkebunan Coklat/ Kakao._x000a_Diisi 0 (NOL)" promptTitle="Status Kelola Perkebunan Kakao" prompt="Tidak Ada_x000a_Pemerintah_x000a_BUMN_x000a_BUMD_x000a_Pemerintah Desa_x000a_Kelompok Tani_x000a_Investor/Swasta_x000a_Perorangan_x000a_Lainnya" sqref="F423" xr:uid="{00000000-0002-0000-0200-0000E4020000}">
      <formula1>IF(OR(F422="",F422="tidak ada"),tidakada,kebun)</formula1>
    </dataValidation>
    <dataValidation type="decimal" showInputMessage="1" showErrorMessage="1" error="Tidak terdapat Perkebunan Kelapa Sawit_x000a_Diisi 0 (NOL)" promptTitle="Total Produksi dalam 1 Tahun" prompt="Sebutkan (Satuan Ton)_x000a_" sqref="F419" xr:uid="{00000000-0002-0000-0200-0000E5020000}">
      <formula1>0</formula1>
      <formula2>IF(OR(F417="",F417="Tidak ada"),0,10000)</formula2>
    </dataValidation>
    <dataValidation type="list" showInputMessage="1" showErrorMessage="1" promptTitle="Kelola Perkebunan Klp Sawit" prompt="Tidak Ada_x000a_Pemerintah_x000a_BUMN_x000a_BUMD_x000a_Pemerintah Desa_x000a_Kelompok Tani_x000a_Investor/Swasta_x000a_Perorangan_x000a_Lainnya" sqref="F418" xr:uid="{00000000-0002-0000-0200-0000E6020000}">
      <formula1>IF(OR(F417="",F417="tidak ada"),tidakada,kebun)</formula1>
    </dataValidation>
    <dataValidation type="decimal" showInputMessage="1" showErrorMessage="1" error="Tidak terdapat Perkebunan Karet._x000a_Diisi 0 (NOL)" promptTitle="Total Produksi dalam 1 Tahun" prompt="Sebutkan (Satuan Ton)_x000a_" sqref="F414" xr:uid="{00000000-0002-0000-0200-0000E7020000}">
      <formula1>0</formula1>
      <formula2>IF(OR(F412="",F412="Tidak ada"),0,10000)</formula2>
    </dataValidation>
    <dataValidation type="list" operator="lessThanOrEqual" showInputMessage="1" showErrorMessage="1" promptTitle="Tujuan Pasar Hasil Panen " prompt="Domestik (Dalam Negeri)_x000a_Ekspor (Luar Negeri)_x000a__x000a_" sqref="F456" xr:uid="{00000000-0002-0000-0200-0000E8020000}">
      <formula1>IF(OR(F452="",F452="Tidak ada"),tidakada,domestikekspor)</formula1>
    </dataValidation>
    <dataValidation type="decimal" showInputMessage="1" showErrorMessage="1" error="Tidak terdapat Perkebunan Lainnya._x000a_Diisi 0 (NOL)" promptTitle="Total Produksi dalam 1 Tahun" prompt="Sebutkan (Satuan Ton)_x000a_" sqref="F455" xr:uid="{00000000-0002-0000-0200-0000E9020000}">
      <formula1>0</formula1>
      <formula2>IF(OR(F452="",F452="Tidak ada"),0,10000)</formula2>
    </dataValidation>
    <dataValidation type="list" showInputMessage="1" showErrorMessage="1" promptTitle="Status Kelola Perkebunan Lainny " prompt="Tidak Ada_x000a_Pemerintah_x000a_BUMN_x000a_BUMD_x000a_Pemerintah Desa_x000a_Kelompok Tani_x000a_Investor/Swasta_x000a_Perorangan_x000a_Lainnya" sqref="F454" xr:uid="{00000000-0002-0000-0200-0000EA020000}">
      <formula1>IF(OR(F452="",F452="tidak ada"),tidakada,kebun)</formula1>
    </dataValidation>
    <dataValidation type="decimal" showInputMessage="1" showErrorMessage="1" error="Tidak terdapat Perkebunan Tembakau._x000a_Diisi 0 (NOL)" promptTitle="Total Produksi dalam 1 Tahun" prompt="Sebutkan (Satuan Ton)_x000a_" sqref="F449" xr:uid="{00000000-0002-0000-0200-0000EB020000}">
      <formula1>0</formula1>
      <formula2>IF(OR(F447="",F447="Tidak ada"),0,10000)</formula2>
    </dataValidation>
    <dataValidation type="whole" showInputMessage="1" showErrorMessage="1" error="Jika Bukan Desa Perikanan diisi NOL" promptTitle="Jlh Mayoritas alat P'tanian Desa" prompt="Jika Tidak ada Diisi angka nol &quot; 0 &quot;" sqref="F990" xr:uid="{00000000-0002-0000-0200-0000EC020000}">
      <formula1>IF(F989&lt;12,1,0)</formula1>
      <formula2>IF(OR(F989="",F989=12),0,100)</formula2>
    </dataValidation>
    <dataValidation type="whole" showInputMessage="1" showErrorMessage="1" error="Jika Bukan Desa Peternakan diisi NOL" promptTitle="Jlh Mayoritas alat P'tanian Desa" prompt="Jika Tidak ada Diisi angka nol &quot; 0 &quot;" sqref="F988" xr:uid="{00000000-0002-0000-0200-0000ED020000}">
      <formula1>IF(F987&lt;12,1,0)</formula1>
      <formula2>IF(OR(F987="",F987=12),0,100)</formula2>
    </dataValidation>
    <dataValidation type="list" showInputMessage="1" showErrorMessage="1" promptTitle="Status Kelola Perkebunan Karet " prompt="Tidak Ada_x000a_Pemerintah_x000a_BUMN_x000a_BUMD_x000a_Pemerintah Desa_x000a_Kelompok Tani_x000a_Investor/Swasta_x000a_Perorangan_x000a_Lainnya" sqref="F413" xr:uid="{00000000-0002-0000-0200-0000EE020000}">
      <formula1>IF(OR(F412="",F412="tidak ada"),tidakada,kebun)</formula1>
    </dataValidation>
    <dataValidation type="decimal" showInputMessage="1" showErrorMessage="1" error="Desa Tidak Berbatasan langsung dengan laut diisi 0 (NOL)" promptTitle="Panjang Garis Pantai" prompt="(Diisi Angka)" sqref="F460" xr:uid="{00000000-0002-0000-0200-0000EF020000}">
      <formula1>IF(F459="Iya",0.01,0)</formula1>
      <formula2>IF(OR(F459="",F459="tidak"),0,250)</formula2>
    </dataValidation>
    <dataValidation type="whole" showInputMessage="1" showErrorMessage="1" promptTitle="Jlh Kelompok Seni Adat &amp; Budaya" prompt="(Kelompok)" sqref="F711" xr:uid="{00000000-0002-0000-0200-0000F0020000}">
      <formula1>IF(F709="Ada",1,0)</formula1>
      <formula2>IF(OR(F709="",F709="tidak ada"),0,20)</formula2>
    </dataValidation>
    <dataValidation type="whole" showInputMessage="1" showErrorMessage="1" error="Tidak terdapat Kelompok Seni Adat dan Budaya di Desa._x000a_Max 24 kali/tahun" promptTitle="Frek Keg Seni Adat &amp; Budaya" prompt="(Kali/Thn)" sqref="F710" xr:uid="{00000000-0002-0000-0200-0000F1020000}">
      <formula1>0</formula1>
      <formula2>IF(OR(F709="",F709="tidak ada"),0,12)</formula2>
    </dataValidation>
    <dataValidation type="whole" showInputMessage="1" showErrorMessage="1" error="Tidak Melebihi Jumlah POSYANDU" promptTitle="Posyandu Melakukan Kegiatan /bln" prompt="Input Menggunakan Angka" sqref="F532" xr:uid="{00000000-0002-0000-0200-0000F2020000}">
      <formula1>0</formula1>
      <formula2>IF(F531=0,0,F531)</formula2>
    </dataValidation>
    <dataValidation type="whole" showInputMessage="1" showErrorMessage="1" error="Jika Bukan Desa Pertanian diisi NOL" promptTitle="Jlh Mayoritas alat P'tanian Desa" prompt="Jika Tidak ada Diisi angka nol &quot; 0 &quot;" sqref="F986" xr:uid="{00000000-0002-0000-0200-0000F3020000}">
      <formula1>IF(F985&lt;12,1,0)</formula1>
      <formula2>IF(OR(F985=12,F985=""),0,100)</formula2>
    </dataValidation>
    <dataValidation type="textLength" showInputMessage="1" showErrorMessage="1" promptTitle="Nama Lengkap Kaur Perencanaan" prompt=" Jika Tidak Ada Diisi &quot; - &quot;" sqref="F30" xr:uid="{00000000-0002-0000-0200-0000F4020000}">
      <formula1>1</formula1>
      <formula2>IF(OR(F29="",F29="tidak ada"),1,30)</formula2>
    </dataValidation>
    <dataValidation type="textLength" showInputMessage="1" showErrorMessage="1" promptTitle="Jenis Perkebunan Lainnya" prompt="Sebutkan_x000a_Jika Tidak Ada diisi &quot; - &quot;" sqref="F453" xr:uid="{00000000-0002-0000-0200-0000F5020000}">
      <formula1>1</formula1>
      <formula2>IF(OR(F452="",F452="tidak ada"),1,20)</formula2>
    </dataValidation>
    <dataValidation type="list" showInputMessage="1" showErrorMessage="1" promptTitle="Status kelola Tambang Tanah Uruk" prompt="Tidak Ada_x000a_Pemerintah_x000a_BUMN_x000a_BUMD_x000a_Swasta_x000a_Perorangan_x000a_Lainnya" sqref="F406" xr:uid="{00000000-0002-0000-0200-0000F6020000}">
      <formula1>IF(OR(F404="",F404="tidak ada"),tidakada,tambang)</formula1>
    </dataValidation>
    <dataValidation type="list" showInputMessage="1" showErrorMessage="1" promptTitle="Status kelola Tambang Batu Kali" prompt="Tidak Ada_x000a_Pemerintah_x000a_BUMN_x000a_BUMD_x000a_Swasta_x000a_Perorangan_x000a_Lainnya" sqref="F403" xr:uid="{00000000-0002-0000-0200-0000F7020000}">
      <formula1>IF(OR(F401="",F401="tidak ada"),tidakada,tambang)</formula1>
    </dataValidation>
    <dataValidation type="list" showInputMessage="1" showErrorMessage="1" promptTitle="Status kelola Tambang Bt Kerikil" prompt="Tidak Ada_x000a_Pemerintah_x000a_BUMN_x000a_BUMD_x000a_Swasta_x000a_Perorangan_x000a_Lainnya" sqref="F400" xr:uid="{00000000-0002-0000-0200-0000F8020000}">
      <formula1>IF(OR(F398="",F398="tidak ada"),tidakada,tambang)</formula1>
    </dataValidation>
    <dataValidation type="list" showInputMessage="1" showErrorMessage="1" promptTitle="Status kelola Tambang Pasir Batu" prompt="Tidak Ada_x000a_Pemerintah_x000a_BUMN_x000a_BUMD_x000a_Swasta_x000a_Perorangan_x000a_Lainnya" sqref="F397" xr:uid="{00000000-0002-0000-0200-0000F9020000}">
      <formula1>IF(OR(F395="",F395="tidak ada"),tidakada,tambang)</formula1>
    </dataValidation>
    <dataValidation type="list" showInputMessage="1" showErrorMessage="1" promptTitle="Status kelola Tambang Pasir" prompt="Tidak Ada_x000a_Pemerintah_x000a_BUMN_x000a_BUMD_x000a_Swasta_x000a_Perorangan_x000a_Lainnya" sqref="F394" xr:uid="{00000000-0002-0000-0200-0000FA020000}">
      <formula1>IF(OR(F393="",F393="tidak ada"),tidakada,tambang)</formula1>
    </dataValidation>
    <dataValidation type="list" showInputMessage="1" showErrorMessage="1" promptTitle="Status kelola Tambang Tanah Liat" prompt="Tidak Ada_x000a_Pemerintah_x000a_BUMN_x000a_BUMD_x000a_Swasta_x000a_Perorangan_x000a_Lainnya" sqref="F391" xr:uid="{00000000-0002-0000-0200-0000FB020000}">
      <formula1>IF(OR(F389="",F389="tidak ada"),tidakada,tambang)</formula1>
    </dataValidation>
    <dataValidation type="list" allowBlank="1" showInputMessage="1" showErrorMessage="1" promptTitle="Status kelola Tambang Batu Kapur" prompt="Tidak Ada_x000a_Pemerintah_x000a_BUMN_x000a_BUMD_x000a_Swasta_x000a_Perorangan_x000a_Lainnya" sqref="F388" xr:uid="{00000000-0002-0000-0200-0000FC020000}">
      <formula1>IF(OR(F386="",F386="tidak ada"),tidakada,tambang)</formula1>
    </dataValidation>
    <dataValidation type="list" showInputMessage="1" showErrorMessage="1" promptTitle="Status kelola Tambang Gol B Lain" prompt="Tidak Ada_x000a_Pemerintah_x000a_BUMN_x000a_BUMD_x000a_Swasta_x000a_Perorangan_x000a_Lainnya" sqref="F384" xr:uid="{00000000-0002-0000-0200-0000FD020000}">
      <formula1>IF(OR(F381="",F381="tidak ada"),tidakada,tambang)</formula1>
    </dataValidation>
    <dataValidation type="list" showInputMessage="1" showErrorMessage="1" promptTitle="Status kelola Tambang Perak" prompt="Tidak Ada_x000a_Pemerintah_x000a_BUMN_x000a_BUMD_x000a_Swasta_x000a_Perorangan_x000a_Lainnya" sqref="F380" xr:uid="{00000000-0002-0000-0200-0000FE020000}">
      <formula1>IF(OR(F378="",F378="tidak ada"),tidakada,tambang)</formula1>
    </dataValidation>
    <dataValidation type="list" showInputMessage="1" showErrorMessage="1" promptTitle="Status kelola Tambang Emas" prompt="Tidak Ada_x000a_Pemerintah_x000a_BUMN_x000a_BUMD_x000a_Swasta_x000a_Perorangan_x000a_Lainnya" sqref="F377" xr:uid="{00000000-0002-0000-0200-0000FF020000}">
      <formula1>IF(OR(F375="",F375="tidak ada"),tidakada,tambang)</formula1>
    </dataValidation>
    <dataValidation type="list" showInputMessage="1" showErrorMessage="1" promptTitle="Status kelola Tambang Belerang" prompt="Tidak Ada_x000a_Pemerintah_x000a_BUMN_x000a_BUMD_x000a_Swasta_x000a_Perorangan_x000a_Lainnya" sqref="F374" xr:uid="{00000000-0002-0000-0200-000000030000}">
      <formula1>IF(OR(F372="",F372="tidak ada"),tidakada,tambang)</formula1>
    </dataValidation>
    <dataValidation type="list" showInputMessage="1" showErrorMessage="1" promptTitle="Status kelola Tambang Tembaga" prompt="Tidak Ada_x000a_Pemerintah_x000a_BUMN_x000a_BUMD_x000a_Swasta_x000a_Perorangan_x000a_Lainnya" sqref="F371" xr:uid="{00000000-0002-0000-0200-000001030000}">
      <formula1>IF(OR(F369="",F369="tidak ada"),tidakada,tambang)</formula1>
    </dataValidation>
    <dataValidation type="list" showInputMessage="1" showErrorMessage="1" promptTitle="Status kelola Tambang Bauksit" prompt="Tidak Ada_x000a_Pemerintah_x000a_BUMN_x000a_BUMD_x000a_Swasta_x000a_Perorangan_x000a_Lainnya" sqref="F368" xr:uid="{00000000-0002-0000-0200-000002030000}">
      <formula1>IF(OR(F366="",F366="tidak ada"),tidakada,tambang)</formula1>
    </dataValidation>
    <dataValidation type="list" showInputMessage="1" showErrorMessage="1" promptTitle="Status kelola Tambang Golongan C" prompt="Tidak Ada_x000a_Pemerintah_x000a_BUMN_x000a_BUMD_x000a_Swasta_x000a_Perorangan_x000a_Lainnya" sqref="F410" xr:uid="{00000000-0002-0000-0200-000003030000}">
      <formula1>IF(OR(F407="",F407="tidak ada"),tidakada,tambang)</formula1>
    </dataValidation>
    <dataValidation type="list" showInputMessage="1" showErrorMessage="1" promptTitle="Status kelola Tambang Nikel" prompt="Tidak Ada_x000a_Pemerintah_x000a_BUMN_x000a_BUMD_x000a_Swasta_x000a_Perorangan_x000a_Lainnya" sqref="F360" xr:uid="{00000000-0002-0000-0200-000004030000}">
      <formula1>IF(OR(F358="",F358="tidak ada"),tidakada,tambang)</formula1>
    </dataValidation>
    <dataValidation type="list" showInputMessage="1" showErrorMessage="1" promptTitle="Status kelola Tambang Batu Bara" prompt="Tidak Ada_x000a_Pemerintah_x000a_BUMN_x000a_BUMD_x000a_Swasta_x000a_Perorangan_x000a_Lainnya" sqref="F357" xr:uid="{00000000-0002-0000-0200-000005030000}">
      <formula1>IF(OR(F355="",F355="tidak ada"),tidakada,tambang)</formula1>
    </dataValidation>
    <dataValidation type="list" showInputMessage="1" showErrorMessage="1" promptTitle="Status kelola Tambang Aspal" prompt="Tidak Ada_x000a_Pemerintah_x000a_BUMN_x000a_BUMD_x000a_Swasta_x000a_Perorangan_x000a_Lainnya" sqref="F354" xr:uid="{00000000-0002-0000-0200-000006030000}">
      <formula1>IF(OR(F352="",F352="tidak ada"),tidakada,tambang)</formula1>
    </dataValidation>
    <dataValidation type="list" showInputMessage="1" showErrorMessage="1" promptTitle="Status kelola Tambang Gas Alam" prompt="Tidak Ada_x000a_Pemerintah_x000a_BUMN_x000a_BUMD_x000a_Swasta_x000a_Perorangan_x000a_Lainnya" sqref="F351" xr:uid="{00000000-0002-0000-0200-000007030000}">
      <formula1>IF(OR(F349="",F349="tidak ada"),tidakada,tambang)</formula1>
    </dataValidation>
    <dataValidation type="list" showInputMessage="1" showErrorMessage="1" promptTitle="Status kelola Tambang Gol A Lain" prompt="Tidak Ada_x000a_Pemerintah_x000a_BUMN_x000a_BUMD_x000a_Swasta_x000a_Perorangan_x000a_Lainnya" sqref="F364" xr:uid="{00000000-0002-0000-0200-000008030000}">
      <formula1>IF(OR(F361="",F361="tidak ada"),tidakada,tambang)</formula1>
    </dataValidation>
    <dataValidation type="list" showInputMessage="1" showErrorMessage="1" error="CEK Produk Unggulan Tanaman Sayuran di Desa" promptTitle="Unggulan 2 Sayur Pasar Ekspor" prompt="Tidak Ada, Bawang Merah, Bawang Putih, Kubis, Bayam, Kelor, Kangkung, Kol, Selada, Mentimun/Timun/Ketimun, Buncis, Brokoli, Toge, Seledri, Kemangi, Sawi, Cabai Keriting, Cabai Rawit, Cabai Lokal, Pare, Kacang Panjang, Terong, Rebung, Lainnya" sqref="F1099" xr:uid="{00000000-0002-0000-0200-000009030000}">
      <formula1>IF(OR(F1096="",F1096="Tidak ada"),tidakada,sayur)</formula1>
    </dataValidation>
    <dataValidation type="list" showInputMessage="1" showErrorMessage="1" error="CEK Produk Unggulan Tanaman Sayuran di Desa" promptTitle="Unggulan 1 Sayur Pasar Ekspor" prompt="Tidak Ada, Bawang Merah, Bawang Putih, Kubis, Bayam, Kelor, Kangkung, Kol, Selada, Mentimun/Timun/Ketimun, Buncis, Brokoli, Toge, Seledri, Kemangi, Sawi, Cabai Keriting, Cabai Rawit, Cabai Lokal, Pare, Kacang Panjang, Terong, Rebung, Lainnya" sqref="F1096" xr:uid="{00000000-0002-0000-0200-00000A030000}">
      <formula1>IF(COUNTIF(F891:F936,"Tidak ada")=23,tidakada,sayur)</formula1>
    </dataValidation>
    <dataValidation type="list" showInputMessage="1" showErrorMessage="1" error="CEK Produk Unggulan Tanaman Sayur di Desa" promptTitle="Unggulan2 Tanaman Sayur Domestik" prompt="Tidak Ada, Bawang Merah, Bawang Putih, Kubis, Bayam, Kelor, Kangkung, Kol, Selada, Mentimun/Timun/Ketimun, Buncis, Brokoli, Toge, Seledri, Kemangi, Sawi, Cabai Keriting, Cabai Rawit, Cabai Lokal, Pare, Kacang Panjang, Terong, Rebung, Lainnya" sqref="F1070" xr:uid="{00000000-0002-0000-0200-00000B030000}">
      <formula1>IF(OR(F1067="",F1067="tidak ada"),tidakada,buah)</formula1>
    </dataValidation>
    <dataValidation type="list" showInputMessage="1" showErrorMessage="1" promptTitle="Pihak ke-3 Aplikasi Digital" prompt="Ada_x000a_Tidak Ada" sqref="F124" xr:uid="{00000000-0002-0000-0200-00000C030000}">
      <formula1>IF(OR(F115="",F115="Tidak ada"),tidakada,adatidak)</formula1>
    </dataValidation>
    <dataValidation type="list" showInputMessage="1" showErrorMessage="1" promptTitle="Phk 3 Konsultn tani/Kebun/ternak" prompt="Ada_x000a_Tidak Ada" sqref="F123" xr:uid="{00000000-0002-0000-0200-00000D030000}">
      <formula1>IF(OR(F115="",F115="Tidak ada"),tidakada,adatidak)</formula1>
    </dataValidation>
    <dataValidation type="list" showInputMessage="1" showErrorMessage="1" promptTitle="Pihak 3 Bid P'ngembangan DesWita" prompt="Ada_x000a_Tidak Ada" sqref="F119" xr:uid="{00000000-0002-0000-0200-00000E030000}">
      <formula1>IF(OR(F115="",F115="Tidak ada"),tidakada,adatidak)</formula1>
    </dataValidation>
    <dataValidation type="list" showInputMessage="1" showErrorMessage="1" promptTitle="Pihak ke-3 Bidang PEL" prompt="Ada_x000a_Tidak Ada" sqref="F118" xr:uid="{00000000-0002-0000-0200-00000F030000}">
      <formula1>IF(OR(F115="",F115="Tidak ada"),tidakada,adatidak)</formula1>
    </dataValidation>
    <dataValidation type="list" showInputMessage="1" showErrorMessage="1" promptTitle="Pihak ke-3 Bidang Infrastruktur" prompt="Ada_x000a_Tidak Ada" sqref="F117" xr:uid="{00000000-0002-0000-0200-000010030000}">
      <formula1>IF(OR(F115="",F115="Tidak ada"),tidakada,adatidak)</formula1>
    </dataValidation>
    <dataValidation type="list" showInputMessage="1" showErrorMessage="1" promptTitle="Pihak ke-3 Bidang PSDM" prompt="Ada_x000a_Tidak Ada" sqref="F116" xr:uid="{00000000-0002-0000-0200-000011030000}">
      <formula1>IF(OR(F115="",F115="Tidak ada"),tidakada,adatidak)</formula1>
    </dataValidation>
    <dataValidation type="list" showInputMessage="1" showErrorMessage="1" error="CEK Produk Unggulan Tanaman Buah di Desa" promptTitle="Unggulan 1 Buah Pasar Ekspor" prompt="Tidak Ada, Jeruk Lokal, Mangga Lokal, Tomat, Semangka, Jeruk Nipis, Jeruk Lemon, Jeruk Bali, Mangga Manalagi, Mangga Alpukat, Mangga Harum Manis, Mangga Gedonggincu, Mangga Malibu, Mangga Apel, Melon, Stroberi, Rambutan, Pepaya, Jambu, Pisang, Nanas, dll" sqref="F1089" xr:uid="{00000000-0002-0000-0200-000012030000}">
      <formula1>IF(COUNTIF(F823:F887,"Tidak Ada")=32,tidakada,buah)</formula1>
    </dataValidation>
    <dataValidation type="list" showInputMessage="1" showErrorMessage="1" error="CEK Produk Unggulan Tanaman Buah di Desa" promptTitle="Unggulan 2 Buah Pasar Domestik" prompt="Tidak Ada, Jeruk Loka, Mangga Lokal, Tomat, Semangka, Jeruk Nipis, Jeruk Lemon, Jeruk Bali, Mangga Manalagi, Mangga Alpukat, Mangga Harum Manis, Mangga Gedonggincu, Mangga Malibu, Mangga Apel, Melon, Stroberi, Rambutan, Pepaya, Jambu, Pisang, dll" sqref="F1063" xr:uid="{00000000-0002-0000-0200-000013030000}">
      <formula1>IF(OR(F1060="",F1060="Tidak Ada"),tidakada,buah)</formula1>
    </dataValidation>
    <dataValidation type="list" showInputMessage="1" showErrorMessage="1" error="CEK Produk Unggulan Tanaman Buah di Desa" promptTitle="Unggulan 1 Buah Pasar Domestik" prompt="Tidak Ada, Jeruk Loka, Mangga Lokal, Tomat, Semangka, Jeruk Nipis, Jeruk Lemon, Jeruk Bali, Mangga Manalagi, Mangga Alpukat, Mangga Harum Manis, Mangga Gedonggincu, Mangga Malibu, Mangga Apel, Melon, Stroberi, Rambutan, Pepaya, Jambu, Pisang, dll" sqref="F1060" xr:uid="{00000000-0002-0000-0200-000014030000}">
      <formula1>IF(COUNTIF(F823:F887,"Tidak Ada")=32,tidakada,buah)</formula1>
    </dataValidation>
    <dataValidation type="list" showInputMessage="1" showErrorMessage="1" error="CEK Produk Unggulan Tanaman Pangan di Desa" promptTitle="Unggulan 1 Pangan Pasar Ekspor" prompt="Tidak Ada, (Lainnya), Padi, Jagung, Kedelai, Kacang Tanah, Kacang Hijau, Ubi Jalar, Ubi Kayu, Melinjo, Pete, Jengkol, Talas, Merica, Kentang, Wortel, Sorgum, Sagu, Gandum, Sukun" sqref="F1082" xr:uid="{00000000-0002-0000-0200-000015030000}">
      <formula1>IF(COUNTIF(F782:F818,"Tidak Ada")=19,tidakada,pangan)</formula1>
    </dataValidation>
    <dataValidation type="list" showInputMessage="1" showErrorMessage="1" error="CEK Produk Unggulan Tanaman Pangan di Desa" promptTitle="Unggulan 2 Pangan Pasar Domestik" prompt="Tidak Ada, Padi, Jagung, Kedelai, Kacang Tanah, Kacang Hijau, Ubi Jalar, Ubi Kayu, Melinjo, Pete, Jengkol, Talas, Merica, Kentang, Wortel, Sorgum, Sagu, Gandum, Sukun, Lainnya" sqref="F1056" xr:uid="{00000000-0002-0000-0200-000016030000}">
      <formula1>IF(OR(F1053="",F1053="Tidak Ada"),tidakada,pangan)</formula1>
    </dataValidation>
    <dataValidation type="list" showInputMessage="1" showErrorMessage="1" error="CEK Produk Unggulan Tanaman Pangan di Desa" promptTitle="Unggulan 1 Pangan Pasar Domestik" prompt="Tidak Ada, Padi, Jagung, Kedelai, Kacang Tanah, Kacang Hijau, Ubi Jalar, Ubi Kayu, Melinjo, Pete, Jengkol, Talas, Merica, Kentang, Wortel, Sorgum, Sagu, Gandum, Sukun, Lainnya" sqref="F1053" xr:uid="{00000000-0002-0000-0200-000017030000}">
      <formula1>IF(COUNTIF(F782:F818,"Tidak Ada")=19,tidakada,pangan)</formula1>
    </dataValidation>
    <dataValidation type="list" showInputMessage="1" showErrorMessage="1" error="CEK Produk Unggulan Tanaman Obat di Desa" promptTitle="Unggulan 1 Obat Pasar Domestik" prompt="Tidak Ada, Jahe, Jahe Merah, Kunyit, Kunyit Putih, Lengkuas/Laos, Kencur, Temulawak, Lidah Buaya, Kumis Kucing, Kemangi, Sirih, Ketumbar, Sambiloto, Gingko Giloba, Bangle, Mengkudu, Kayu Manis, Jintan Hitam, Kapulaga, Sereh, Lainnya" sqref="F1074" xr:uid="{00000000-0002-0000-0200-000018030000}">
      <formula1>IF(COUNTIF(F940:F980,"Tidak ada")=21,tidakada,obat)</formula1>
    </dataValidation>
    <dataValidation type="list" showInputMessage="1" showErrorMessage="1" error="CEK Produk Unggulan Tanaman Obat di Desa" promptTitle="Unggulan 2 Obat Pasar Ekspor" prompt="Tidak Ada, Jahe, Jahe Merah, Kunyit, Kunyit Putih, Lengkuas/Laos, Kencur, Temulawak, Lidah Buaya, Kumis Kucing, Kemangi, Sirih, Ketumbar, Sambiloto, Gingko Giloba, Bangle, Mengkudu, Kayu Manis, Jintan Hitam, Kapulaga, Sereh, Lainnya" sqref="F1106" xr:uid="{00000000-0002-0000-0200-000019030000}">
      <formula1>IF(OR(F1103="",F1103="Tidak ada"),tidakada,obat)</formula1>
    </dataValidation>
    <dataValidation type="list" showInputMessage="1" showErrorMessage="1" error="CEK Produk Unggulan Tanaman Obat di Desa" promptTitle="Unggulan 1 Obat Pasar Ekspor" prompt="Tidak Ada, Jahe, Jahe Merah, Kunyit, Kunyit Putih, Lengkuas/Laos, Kencur, Temulawak, Lidah Buaya, Kumis Kucing, Kemangi, Sirih, Ketumbar, Sambiloto, Gingko Giloba, Bangle, Mengkudu, Kayu Manis, Jintan Hitam, Kapulaga, Sereh, Lainnya" sqref="F1103" xr:uid="{00000000-0002-0000-0200-00001A030000}">
      <formula1>IF(COUNTIF(F940:F980,"Tidak ada")=21,tidakada,obat)</formula1>
    </dataValidation>
    <dataValidation type="textLength" showInputMessage="1" showErrorMessage="1" error="Jika Terdapat Tambang Golongan C Lainnya diisi._x000a_Jika Tidak Ada diisi tanda &quot; - &quot;" promptTitle="Jenis Tambang Golongan C Lainnya" prompt="Sebutkan_x000a_Jika Tidak Ada diisi tanda &quot; - &quot;_x000a_" sqref="F408" xr:uid="{00000000-0002-0000-0200-00001B030000}">
      <formula1>IF(F407="ada",3,1)</formula1>
      <formula2>IF(OR(F407="",F407="tidak ada"),1,20)</formula2>
    </dataValidation>
    <dataValidation type="textLength" showInputMessage="1" showErrorMessage="1" error="Jika Terdapat Tambang Golongan B Lainnya diisi._x000a_Jika Tidak Ada diisi tanda &quot; - &quot;" promptTitle="Jenis Tambang Golongan B Lainnya" prompt="Sebutkan_x000a_" sqref="F382" xr:uid="{00000000-0002-0000-0200-00001C030000}">
      <formula1>IF(F381="ada",3,1)</formula1>
      <formula2>IF(OR(F381="",F381="tidak ada"),1,20)</formula2>
    </dataValidation>
    <dataValidation type="textLength" showInputMessage="1" showErrorMessage="1" error="Jika Terdapat Tambang Golongan A Lainnya diisi._x000a_Jika Tidak Ada diisi tanda &quot; - &quot;" promptTitle="Jenis Tambang Golongan A Lainnya" prompt="Sebutkan_x000a_Jika Tidak Ada diisi &quot; - &quot;" sqref="F362" xr:uid="{00000000-0002-0000-0200-00001D030000}">
      <formula1>IF(F361="ada",3,1)</formula1>
      <formula2>IF(OR(F361="",F361="tidak ada"),1,20)</formula2>
    </dataValidation>
    <dataValidation type="textLength" showInputMessage="1" showErrorMessage="1" promptTitle="Sumber air Lainnya" prompt="Sebutkan" sqref="F592" xr:uid="{00000000-0002-0000-0200-00001E030000}">
      <formula1>IF(OR(F588=2,F588=1),3,1)</formula1>
      <formula2>IF(OR(F588=3,F588=""),1,20)</formula2>
    </dataValidation>
    <dataValidation type="list" showInputMessage="1" showErrorMessage="1" promptTitle="Sumber air Sungai" prompt="Ya_x000a_Tidak" sqref="F591" xr:uid="{00000000-0002-0000-0200-00001F030000}">
      <formula1>IF(OR(F588="",F588=3),tidakada,adatidak)</formula1>
    </dataValidation>
    <dataValidation type="list" showInputMessage="1" showErrorMessage="1" promptTitle="Sumber air Danau" prompt="Ya_x000a_Tidak" sqref="F590" xr:uid="{00000000-0002-0000-0200-000020030000}">
      <formula1>IF(OR(F588="",F588=3),tidakada,adatidak)</formula1>
    </dataValidation>
    <dataValidation type="list" showInputMessage="1" showErrorMessage="1" promptTitle="Sumber air Mata Air" prompt="Ya_x000a_Tidak Ada" sqref="F589" xr:uid="{00000000-0002-0000-0200-000021030000}">
      <formula1>IF(OR(F588="",F588=3),tidakada,adatidak)</formula1>
    </dataValidation>
    <dataValidation type="list" showInputMessage="1" showErrorMessage="1" promptTitle="Pihak ke-3 Konsultan Pajak" prompt="Ada_x000a_Tidak Ada" sqref="F122" xr:uid="{00000000-0002-0000-0200-000022030000}">
      <formula1>IF(OR(F115="",F115="Tidak ada"),tidakada,adatidak)</formula1>
    </dataValidation>
    <dataValidation type="list" showInputMessage="1" showErrorMessage="1" promptTitle="Pihak ke-3 Konsultan Keuangan" prompt="Ada_x000a_Tidak Ada" sqref="F121" xr:uid="{00000000-0002-0000-0200-000023030000}">
      <formula1>IF(OR(F115="",F115="Tidak ada"),tidakada,adatidak)</formula1>
    </dataValidation>
    <dataValidation type="list" showInputMessage="1" showErrorMessage="1" promptTitle="Pihak ke-3 Bantuan Hukum" prompt="Ada_x000a_Tidak Ada" sqref="F120" xr:uid="{00000000-0002-0000-0200-000024030000}">
      <formula1>IF(OR(F115="",F115="Tidak ada"),tidakada,adatidak)</formula1>
    </dataValidation>
    <dataValidation type="whole" allowBlank="1" showInputMessage="1" showErrorMessage="1" promptTitle="Biaya Desa ke Kantor Gubernur" prompt="Biaya yang dikeluarkan untuk Transportasi Dari kantor Desa Ke Ke Kantor Gubernur" sqref="F1415" xr:uid="{00000000-0002-0000-0200-000025030000}">
      <formula1>0</formula1>
      <formula2>3000000</formula2>
    </dataValidation>
    <dataValidation type="textLength" showInputMessage="1" showErrorMessage="1" error="Tidak Ada Pendampingan Masyarakat diluar PLD diisi tanda &quot; - &quot;" promptTitle="Bidang Lain Tdampak Pendampingan" prompt="Sebutkan_x000a_Jika tidak ada diisi &quot; - &quot;" sqref="F111" xr:uid="{00000000-0002-0000-0200-000026030000}">
      <formula1>1</formula1>
      <formula2>IF(OR(F97="",F97="Tidak Ada"),1,50)</formula2>
    </dataValidation>
    <dataValidation type="list" showInputMessage="1" showErrorMessage="1" error="CEK Produk Unggulan Tanaman Obat di Desa" promptTitle="Unggulan Ke2 Obat Pasar Domestik" prompt="Tidak Ada, Jahe, Jahe Merah, Kunyit, Kunyit Putih, Lengkuas/Laos, Kencur, Temulawak, Lidah Buaya, Kumis Kucing, Kemangi, Sirih, Ketumbar, Sambiloto, Gingko Giloba, Bangle, Mengkudu, Kayu Manis, Jintan Hitam, Kapulaga, Sereh, Lainnya" sqref="F1077" xr:uid="{00000000-0002-0000-0200-000027030000}">
      <formula1>IF(OR(F1074="",F1074="Tidak Ada"),tidakada,obat)</formula1>
    </dataValidation>
    <dataValidation type="list" showInputMessage="1" showErrorMessage="1" error="CEK Produk Unggulan Tanaman Buah di Desa" promptTitle="Unggulan 2 Pasar Ekspor" prompt="Tidak Ada, Jeruk Lokal, Mangga Lokal, Tomat, Semangka, Jeruk Nipis, Jeruk Lemon, Jeruk Bali, Mangga Manalagi, Mangga Alpukat, Mangga Harum Manis, Mangga Gedonggincu, Mangga Malibu, Mangga Apel, Melon, Stroberi, Rambutan, Pepaya, Jambu, Pisang, Nanas, dll" sqref="F1092" xr:uid="{00000000-0002-0000-0200-000028030000}">
      <formula1>IF(OR(F1089="",F1089="Tidak Ada"),tidakada,buah)</formula1>
    </dataValidation>
    <dataValidation type="list" showInputMessage="1" showErrorMessage="1" error="CEK Produk Unggulan Tanaman Pangan di Desa" promptTitle="Unggulan 2 Pangan Pasar Ekspor" prompt="Tidak Ada, (Lainnya), Padi, Jagung, Kedelai, Kacang Tanah, Kacang Hijau, Ubi Jalar, Ubi Kayu, Melinjo, Pete, Jengkol, Talas, Merica, Kentang, Wortel, Sorgum, Sagu, Gandum, Sukun" sqref="F1085" xr:uid="{00000000-0002-0000-0200-000029030000}">
      <formula1>IF(OR(F1082="Tidak ada",F1082=""),tidakada,pangan)</formula1>
    </dataValidation>
    <dataValidation type="list" showInputMessage="1" showErrorMessage="1" promptTitle="Layann Internet WiFi Kantor Desa" prompt="Tidak Ada, Indihome, XL Home_x000a_Biznet, First Media, Smartfren_x000a_Indosat GIG, Oxygen.id_x000a_Icon+ PLN, My Republic_x000a_CBN Fiber, Starlink_x000a_Lainnya" sqref="F649" xr:uid="{00000000-0002-0000-0200-00002A030000}">
      <formula1>IF(OR(F647="",F647="Tidak ada"),tidakada,jaringan)</formula1>
    </dataValidation>
    <dataValidation type="list" showInputMessage="1" showErrorMessage="1" promptTitle="Jaringan Internet di Kantor Desa" prompt="Tidak Ada_x000a_2G/ 2.5G/ GPRS/ EDGE_x000a_3G/ 3.5G/ HSDPA/ EVDO_x000a_4G LTE_x000a_5G" sqref="F648" xr:uid="{00000000-0002-0000-0200-00002B030000}">
      <formula1>IF(OR(F647="Tidak Ada",F647=""),tidakada,internet)</formula1>
    </dataValidation>
    <dataValidation type="list" showInputMessage="1" showErrorMessage="1" promptTitle="Jaringan Internet Lainnya" prompt="Tidak Ada_x000a_2G/ 2.5G/ GPRS/ EDGE_x000a_3G/ 3.5G/ HSDPA/ EVDO_x000a_4G LTE_x000a_5G" sqref="F645" xr:uid="{00000000-0002-0000-0200-00002C030000}">
      <formula1>IF(OR(F643="",F643="tidak ada"),tidakada,internet)</formula1>
    </dataValidation>
    <dataValidation type="list" showInputMessage="1" showErrorMessage="1" promptTitle="Terdapat Tambang Gol C Lainnya" prompt="Ada_x000a_Tidak Ada" sqref="F407" xr:uid="{00000000-0002-0000-0200-00002D030000}">
      <formula1>IF(OR(F343="",F343="tidak ada"),tidakada,adatidak)</formula1>
    </dataValidation>
    <dataValidation type="list" showInputMessage="1" showErrorMessage="1" error="Tidak Ada Kawasan Tambang di Desa" promptTitle="Terdapat Tambang Tanah Uruk" prompt="Ada_x000a_Tidak Ada" sqref="F404" xr:uid="{00000000-0002-0000-0200-00002E030000}">
      <formula1>IF(OR(F343="",F343="tidak ada"),tidakada,adatidak)</formula1>
    </dataValidation>
    <dataValidation type="list" showInputMessage="1" showErrorMessage="1" error="Tidak Ada Kawasan Tambang di Desa" promptTitle="Terdapat Tambang Batu Kali" prompt="Ada_x000a_Tidak Ada" sqref="F401" xr:uid="{00000000-0002-0000-0200-00002F030000}">
      <formula1>IF(OR(F343="",F343="tidak ada"),tidakada,adatidak)</formula1>
    </dataValidation>
    <dataValidation type="list" showInputMessage="1" showErrorMessage="1" error="Tidak Ada Kawasan Tambang di Desa" promptTitle="Terdapat Tambang Batu Kerikil" prompt="Ada_x000a_Tidak Ada" sqref="F398" xr:uid="{00000000-0002-0000-0200-000030030000}">
      <formula1>IF(OR(F343="",F343="tidak ada"),tidakada,adatidak)</formula1>
    </dataValidation>
    <dataValidation type="list" showInputMessage="1" showErrorMessage="1" error="Tidak Ada Kawasan Tambang di Desa" promptTitle="Terdapat Tambang Pasir Batu" prompt="Ada_x000a_Tidak Ada" sqref="F395" xr:uid="{00000000-0002-0000-0200-000031030000}">
      <formula1>IF(OR(F343="",F343="tidak ada"),tidakada,adatidak)</formula1>
    </dataValidation>
    <dataValidation type="list" showInputMessage="1" showErrorMessage="1" error="Tidak Ada Kawasan Tambang di Desa" promptTitle="Terdapat Tambang Pasir" prompt="Ada_x000a_Tidak Ada" sqref="F392" xr:uid="{00000000-0002-0000-0200-000032030000}">
      <formula1>IF(OR(F343="",F343="tidak ada"),tidakada,adatidak)</formula1>
    </dataValidation>
    <dataValidation type="list" showInputMessage="1" showErrorMessage="1" error="Tidak Ada Kawasan Tambang di Desa" promptTitle="Terdapat Tambang Tanah Liat" prompt="Ada_x000a_Tidak Ada" sqref="F389" xr:uid="{00000000-0002-0000-0200-000033030000}">
      <formula1>IF(OR(F343="",F343="tidak ada"),tidakada,adatidak)</formula1>
    </dataValidation>
    <dataValidation type="list" showInputMessage="1" showErrorMessage="1" error="Tidak Ada Kawasan Tambang di Desa" promptTitle="Terdapat Tambang Batu Kapur" prompt="Ada_x000a_Tidak Ada" sqref="F386" xr:uid="{00000000-0002-0000-0200-000034030000}">
      <formula1>IF(OR(F343="",F343="tidak ada"),tidakada,adatidak)</formula1>
    </dataValidation>
    <dataValidation type="list" showInputMessage="1" showErrorMessage="1" error="Tidak Ada Kawasan Tambang di Desa" promptTitle="Terdapat Tambang Gol B Lainnya" prompt="Ada_x000a_Tidak Ada" sqref="F381" xr:uid="{00000000-0002-0000-0200-000035030000}">
      <formula1>IF(OR(F343="",F343="tidak ada"),tidakada,adatidak)</formula1>
    </dataValidation>
    <dataValidation type="list" showInputMessage="1" showErrorMessage="1" error="Tidak Ada Kawasan Tambang di Desa" promptTitle="Terdapat Tambang Perak" prompt="Ada_x000a_Tidak Ada" sqref="F378" xr:uid="{00000000-0002-0000-0200-000036030000}">
      <formula1>IF(OR(F343="",F343="tidak ada"),tidakada,adatidak)</formula1>
    </dataValidation>
    <dataValidation type="list" showInputMessage="1" showErrorMessage="1" error="Tidak Ada Kawasan Tambang di Desa" promptTitle="Terdapat Tambang Emas" prompt="Ada_x000a_Tidak Ada" sqref="F375" xr:uid="{00000000-0002-0000-0200-000037030000}">
      <formula1>IF(OR(F343="",F343="tidak ada"),tidakada,adatidak)</formula1>
    </dataValidation>
    <dataValidation type="list" showInputMessage="1" showErrorMessage="1" error="Tidak Ada Kawasan Tambang di Desa" promptTitle="Terdapat Tambang Belerang" prompt="Ada_x000a_Tidak Ada" sqref="F372" xr:uid="{00000000-0002-0000-0200-000038030000}">
      <formula1>IF(OR(F343="",F343="tidak ada"),tidakada,adatidak)</formula1>
    </dataValidation>
    <dataValidation type="list" showInputMessage="1" showErrorMessage="1" error="Tidak Ada Kawasan Tambang di Desa" promptTitle="Terdapat Tambang Tembaga" prompt="Ada_x000a_Tidak Ada" sqref="F369" xr:uid="{00000000-0002-0000-0200-000039030000}">
      <formula1>IF(OR(F343="",F343="tidak ada"),tidakada,adatidak)</formula1>
    </dataValidation>
    <dataValidation type="list" showInputMessage="1" showErrorMessage="1" error="Tidak Ada Kawasan Tambang di Desa" promptTitle="Terdapat Tambang Bauksit" prompt="Ada_x000a_Tidak Ada" sqref="F366" xr:uid="{00000000-0002-0000-0200-00003A030000}">
      <formula1>IF(OR(F343="",F343="tidak ada"),tidakada,adatidak)</formula1>
    </dataValidation>
    <dataValidation type="list" showInputMessage="1" showErrorMessage="1" error="Tidak Ada Kawasan Tambang di Desa" promptTitle="Terdapat Tambang Golongan A Lain" prompt="Ada_x000a_Tidak Ada" sqref="F361" xr:uid="{00000000-0002-0000-0200-00003B030000}">
      <formula1>IF(OR(F343="",F343="tidak ada"),tidakada,adatidak)</formula1>
    </dataValidation>
    <dataValidation type="list" showInputMessage="1" showErrorMessage="1" error="Tidak Ada Kawasan Tambang di Desa" promptTitle="Terdapat Tambang Nikel" prompt="Ada_x000a_Tidak Ada" sqref="F358" xr:uid="{00000000-0002-0000-0200-00003C030000}">
      <formula1>IF(OR(F343="",F343="tidak ada"),tidakada,adatidak)</formula1>
    </dataValidation>
    <dataValidation type="list" showInputMessage="1" showErrorMessage="1" error="Tidak Ada Kawasan Tambang di Desa" promptTitle="Terdapat Tambang Batu Bara" prompt="Ada_x000a_Tidak Ada" sqref="F355" xr:uid="{00000000-0002-0000-0200-00003D030000}">
      <formula1>IF(OR(F343="",F343="tidak ada"),tidakada,adatidak)</formula1>
    </dataValidation>
    <dataValidation type="list" showInputMessage="1" showErrorMessage="1" error="Tidak Ada Kawasan Tambang di Desa" promptTitle="Terdapat Tambang Aspal" prompt="Ada_x000a_Tidak Ada" sqref="F352" xr:uid="{00000000-0002-0000-0200-00003E030000}">
      <formula1>IF(OR(F343="",F343="tidak ada"),tidakada,adatidak)</formula1>
    </dataValidation>
    <dataValidation type="list" showInputMessage="1" showErrorMessage="1" error="Tidak Ada Kawasan Tambang di Desa" promptTitle="Terdapat Tambang Gas Alam" prompt="Ada_x000a_Tidak Ada" sqref="F349" xr:uid="{00000000-0002-0000-0200-00003F030000}">
      <formula1>IF(OR(F343="",F343="tidak ada"),tidakada,adatidak)</formula1>
    </dataValidation>
    <dataValidation type="list" showInputMessage="1" showErrorMessage="1" promptTitle="Status kelola Tambang MinyakBumi" prompt="Tidak Ada_x000a_Pemerintah_x000a_BUMN_x000a_BUMD_x000a_Swasta_x000a_Perorangan_x000a_Lainnya" sqref="F348" xr:uid="{00000000-0002-0000-0200-000040030000}">
      <formula1>IF(OR(F346="",F346="tidak ada"),tidakada,tambang)</formula1>
    </dataValidation>
    <dataValidation type="list" showInputMessage="1" showErrorMessage="1" error="Tidak Ada Kawasan Tambang di Desa" promptTitle="Terdapat Tambang Minyak Bumi" prompt="Ada_x000a_Tidak Ada" sqref="F346" xr:uid="{00000000-0002-0000-0200-000041030000}">
      <formula1>IF(OR(F343="",F343="tidak ada"),tidakada,adatidak)</formula1>
    </dataValidation>
    <dataValidation type="list" allowBlank="1" showInputMessage="1" showErrorMessage="1" promptTitle="Terdapat Hutan Rakyat di Desa" prompt="Ada_x000a_Tidak Ada" sqref="F341" xr:uid="{00000000-0002-0000-0200-000042030000}">
      <formula1>IF(OR(F338="",F338="tidak ada"),tidakada,adatidak)</formula1>
    </dataValidation>
    <dataValidation type="list" allowBlank="1" showInputMessage="1" showErrorMessage="1" promptTitle="Terdapat Hutan Negara di Desa" prompt="Ada_x000a_Tidak Ada" sqref="F340" xr:uid="{00000000-0002-0000-0200-000043030000}">
      <formula1>IF(OR(F338="",F338="tidak ada"),tidakada,adatidak)</formula1>
    </dataValidation>
    <dataValidation type="list" showInputMessage="1" showErrorMessage="1" promptTitle="Jenis Kelamin Kaur Keuangan" prompt="Laki- Laki_x000a_Perempuan" sqref="F28" xr:uid="{00000000-0002-0000-0200-000044030000}">
      <formula1>IF(OR(F26="",F26="Tidak Ada"),strip,kelamin)</formula1>
    </dataValidation>
    <dataValidation type="textLength" showInputMessage="1" showErrorMessage="1" promptTitle="Nama Lengkap Kaur Keuangan" prompt=" Jika Tidak Ada Diisi &quot; - &quot;" sqref="F27" xr:uid="{00000000-0002-0000-0200-000045030000}">
      <formula1>1</formula1>
      <formula2>IF(OR(F26="",F26="tidakada"),1,30)</formula2>
    </dataValidation>
    <dataValidation type="textLength" showInputMessage="1" showErrorMessage="1" promptTitle="Nama Lengkap Kaur TU &amp; Umum" prompt=" Jika Tidak Ada Diisi &quot; - &quot;" sqref="F24" xr:uid="{00000000-0002-0000-0200-000046030000}">
      <formula1>1</formula1>
      <formula2>IF(OR(F23="",F23="Tidak Ada"),1,30)</formula2>
    </dataValidation>
    <dataValidation type="textLength" showInputMessage="1" showErrorMessage="1" promptTitle="Nama Lengkap Kasi Pelayanan" prompt=" Jika Tidak Ada Diisi &quot; - &quot;" sqref="F20" xr:uid="{00000000-0002-0000-0200-000047030000}">
      <formula1>1</formula1>
      <formula2>IF(OR(F19="",F19="tidak ada"),1,30)</formula2>
    </dataValidation>
    <dataValidation type="textLength" showInputMessage="1" showErrorMessage="1" promptTitle="Nama Lengkap Kasi Kesejahteraan" prompt=" Jika Tidak Ada Diisi &quot; - &quot;" sqref="F17" xr:uid="{00000000-0002-0000-0200-000048030000}">
      <formula1>1</formula1>
      <formula2>IF(OR(F16="",F16="tidak ada"),1,30)</formula2>
    </dataValidation>
    <dataValidation type="list" showInputMessage="1" showErrorMessage="1" promptTitle="Jenis Kelamin Kaur Perencanaan" prompt="Laki- Laki_x000a_Perempuan" sqref="F31" xr:uid="{00000000-0002-0000-0200-000049030000}">
      <formula1>IF(OR(F29="",F29="Tidak Ada"),strip,kelamin)</formula1>
    </dataValidation>
    <dataValidation type="list" showInputMessage="1" showErrorMessage="1" promptTitle="Pendampingan Bidang Pendidikan" prompt="Ada_x000a_Tidak Ada" sqref="F102" xr:uid="{00000000-0002-0000-0200-00004A030000}">
      <formula1>IF(OR(F97="",F97="Tidak Ada"),tidakada,adatidak)</formula1>
    </dataValidation>
    <dataValidation type="list" showInputMessage="1" showErrorMessage="1" promptTitle="Dampak Pendampingan Pihak Luar" prompt="0: Tidak Ada Pendampingan_x000a_1: Berdampak Baik_x000a_2: Tidak Berdampak" sqref="F109" xr:uid="{00000000-0002-0000-0200-00004B030000}">
      <formula1>IF(OR(F97="",F97="Tidak ada"),nol,satudua)</formula1>
    </dataValidation>
    <dataValidation type="list" showInputMessage="1" showErrorMessage="1" promptTitle="Pendampingan Bidang Ekonomi" prompt="Ada_x000a_Tidak Ada" sqref="F105" xr:uid="{00000000-0002-0000-0200-00004C030000}">
      <formula1>IF(OR(F97="",F97="Tidak Ada"),tidakada,adatidak)</formula1>
    </dataValidation>
    <dataValidation type="list" showInputMessage="1" showErrorMessage="1" promptTitle="Tdapat Bumdesa Bid Jasa" prompt="Ada_x000a_Tidak Ada" sqref="F1193" xr:uid="{00000000-0002-0000-0200-00004D030000}">
      <formula1>IF(OR(F1189="",F1189="tidak ada"),tidakada,adatidak)</formula1>
    </dataValidation>
    <dataValidation type="decimal" showInputMessage="1" showErrorMessage="1" promptTitle="Persentase Bagi Hasil Pihak Ke 3" prompt="Jika Tidak Ada diisi tanda  &quot; 0 &quot;" sqref="F1029" xr:uid="{00000000-0002-0000-0200-00004E030000}">
      <formula1>0</formula1>
      <formula2>IF(OR(F1015="tidak ada",F1015=""),0,100)</formula2>
    </dataValidation>
    <dataValidation type="whole" showInputMessage="1" showErrorMessage="1" promptTitle="Frek Kejadian Bencana" prompt="Kekeringan_x000a_(Kali/Tahun)" sqref="F1286" xr:uid="{00000000-0002-0000-0200-00004F030000}">
      <formula1>0</formula1>
      <formula2>IF(OR(F1285="",F1285="tidak ada"),0,12)</formula2>
    </dataValidation>
    <dataValidation type="list" showInputMessage="1" showErrorMessage="1" promptTitle="Bumdes Perdagangan Bid Sembako" prompt="Ada_x000a_Tidak Ada" sqref="F1206" xr:uid="{00000000-0002-0000-0200-000050030000}">
      <formula1>IF(OR(F1199="",F1199="tidak ada"),tidakada,adatidak)</formula1>
    </dataValidation>
    <dataValidation type="textLength" showInputMessage="1" showErrorMessage="1" promptTitle="Bumdesa Perdagangan Bid P'tanian" prompt="(SEBUTKAN)_x000a_Jika Tidak Ada Diisi tanda &quot; - &quot;" sqref="F1201" xr:uid="{00000000-0002-0000-0200-000051030000}">
      <formula1>IF(F1200="Ada",4,1)</formula1>
      <formula2>IF(OR(F1200="",F1200="tidak ada"),1,50)</formula2>
    </dataValidation>
    <dataValidation type="list" showInputMessage="1" showErrorMessage="1" promptTitle="Tdapat Bumdesa Bid Listrik" prompt="Ada_x000a_Tidak Ada" sqref="F1191" xr:uid="{00000000-0002-0000-0200-000052030000}">
      <formula1>IF(OR(F1189="",F1189="tidak ada"),tidakada,adatidak)</formula1>
    </dataValidation>
    <dataValidation type="textLength" showInputMessage="1" showErrorMessage="1" promptTitle="Bahan Bakar Masak Lainnya" prompt="(Sebutkan)_x000a_Jika Bukan Lainnya Diisi &quot; - &quot;" sqref="F1173" xr:uid="{00000000-0002-0000-0200-000053030000}">
      <formula1>1</formula1>
      <formula2>IF(OR(F1172="",F1172=9),1,20)</formula2>
    </dataValidation>
    <dataValidation type="textLength" showInputMessage="1" showErrorMessage="1" promptTitle="Judul Perjanjian Kerjasama" prompt=" Jika Tidak Ada diisi tanda  &quot; - &quot;" sqref="F1026" xr:uid="{00000000-0002-0000-0200-000054030000}">
      <formula1>1</formula1>
      <formula2>IF(OR(F1024="",F1024="tidak ada"),1,50)</formula2>
    </dataValidation>
    <dataValidation type="list" showInputMessage="1" showErrorMessage="1" promptTitle="Tdapat Bumdesa Pariwisata" prompt="Terdapat Bumdesa Parawisita Bidang Agrowisata_x000a_Ada_x000a_Tidak Ada" sqref="F1229" xr:uid="{00000000-0002-0000-0200-000055030000}">
      <formula1>IF(OR(F1227="",F1227="Tidak ada"),tidakada,adatidak)</formula1>
    </dataValidation>
    <dataValidation type="list" showInputMessage="1" showErrorMessage="1" promptTitle="Tdapat Bumdesa Keuangan" prompt="Terdapat Bumdesa Keuangan Bidang Agen 46_x000a_Ada_x000a_Tidak Ada" sqref="F1212" xr:uid="{00000000-0002-0000-0200-000056030000}">
      <formula1>IF(OR(F1207="",F1207="tidak ada"),tidakada,adatidak)</formula1>
    </dataValidation>
    <dataValidation type="list" showInputMessage="1" showErrorMessage="1" promptTitle="Kondisi KK Rumah Semi Permanen" prompt="Tidak Ada_x000a_Baik_x000a_Sedang_x000a_Rusak" sqref="F686" xr:uid="{00000000-0002-0000-0200-000057030000}">
      <formula1>IF(OR(F685="",F685=0),tidakada,rumah)</formula1>
    </dataValidation>
    <dataValidation type="list" showInputMessage="1" showErrorMessage="1" promptTitle="Bidang Kerjasama Bumdes Pihak 3" prompt="0: Tidak Ada_x000a_1: Kehutanan_x000a_2: Pertambangan_x000a_3: Perkebunan_x000a_4: Pertanian_x000a_5: Ekonomi_x000a_6: Pemberdayaan Masyarakat_x000a_7: Lainnya" sqref="F1022" xr:uid="{00000000-0002-0000-0200-000058030000}">
      <formula1>IF(OR(F1015="",F1015="tidak ada"),nol,satutujuh)</formula1>
    </dataValidation>
    <dataValidation type="list" showInputMessage="1" showErrorMessage="1" promptTitle="Tdapat Bumdesa Keuangan" prompt="Terdapat Bumdesa Keuangan Bidang Mikro Finance_x000a_Ada_x000a_Tidak Ada" sqref="F1210" xr:uid="{00000000-0002-0000-0200-000059030000}">
      <formula1>IF(OR(F1207="",F1207="tidak ada"),tidakada,adatidak)</formula1>
    </dataValidation>
    <dataValidation type="list" showInputMessage="1" showErrorMessage="1" promptTitle="Kerjasama Dengan Pihak LSM" prompt="Ada_x000a_Tidak Ada" sqref="F1017" xr:uid="{00000000-0002-0000-0200-00005A030000}">
      <formula1>IF(OR(F1015="",F1015="Tidak ada"),tidakada,adatidak)</formula1>
    </dataValidation>
    <dataValidation type="list" showInputMessage="1" showErrorMessage="1" promptTitle="Pdampingan Pberdayaan Masyarakat" prompt="Ada_x000a_Tidak Ada" sqref="F106" xr:uid="{00000000-0002-0000-0200-00005B030000}">
      <formula1>IF(OR(F97="",F97="Tidak Ada"),tidakada,adatidak)</formula1>
    </dataValidation>
    <dataValidation type="list" showInputMessage="1" showErrorMessage="1" promptTitle="Tdapat Bumdesa Bid Air Bersih" prompt="Ada_x000a_Tidak Ada" sqref="F1190" xr:uid="{00000000-0002-0000-0200-00005C030000}">
      <formula1>IF(OR(F1189="",F1189="tidak ada"),tidakada,adatidak)</formula1>
    </dataValidation>
    <dataValidation type="textLength" showInputMessage="1" showErrorMessage="1" promptTitle="Jenis Konflik lainnya" prompt="Jenis Konflik Lainnya, Sebutkan" sqref="F731" xr:uid="{00000000-0002-0000-0200-00005D030000}">
      <formula1>1</formula1>
      <formula2>IF(OR(F730=0,F730=""),1,50)</formula2>
    </dataValidation>
    <dataValidation type="list" showInputMessage="1" showErrorMessage="1" promptTitle="Tdapat Bumdesa Perantara" prompt="Terdapat Bumdesa Perantara Bidang Toko/Kios_x000a_Ada_x000a_Tidak Ada" sqref="F1219" xr:uid="{00000000-0002-0000-0200-00005E030000}">
      <formula1>IF(OR(F1216="",F1216="tidak ada"),tidakada,adatidak)</formula1>
    </dataValidation>
    <dataValidation type="list" allowBlank="1" showInputMessage="1" showErrorMessage="1" promptTitle="Pendampingan Bidang Kesehatan" prompt="Ada_x000a_Tidak Ada" sqref="F103" xr:uid="{00000000-0002-0000-0200-00005F030000}">
      <formula1>IF(OR(F97="",F97="Tidak Ada"),tidakada,adatidak)</formula1>
    </dataValidation>
    <dataValidation type="list" showInputMessage="1" showErrorMessage="1" promptTitle="Bumdesa Perdagangan Bid P'Ternak" prompt="Ada_x000a_Tidak Ada" sqref="F1204" xr:uid="{00000000-0002-0000-0200-000060030000}">
      <formula1>IF(OR(F1199="",F1199="tidak ada"),tidakada,adatidak)</formula1>
    </dataValidation>
    <dataValidation type="list" showInputMessage="1" showErrorMessage="1" promptTitle="Tdapat Bumdesa Perantara" prompt="Terdapat Bumdesa Perantara Bidang Perbengkelan_x000a_Ada_x000a_Tidak Ada" sqref="F1218" xr:uid="{00000000-0002-0000-0200-000061030000}">
      <formula1>IF(OR(F1216="",F1216="tidak ada"),tidakada,adatidak)</formula1>
    </dataValidation>
    <dataValidation type="textLength" showInputMessage="1" showErrorMessage="1" prompt="Hari Besar Perayaan Adat Lainnya selain Disebutkan" sqref="F716" xr:uid="{00000000-0002-0000-0200-000062030000}">
      <formula1>1</formula1>
      <formula2>IF(OR(F715="tidak ada"),1,50)</formula2>
    </dataValidation>
    <dataValidation type="textLength" showInputMessage="1" showErrorMessage="1" promptTitle="PLD lain dari Luar" prompt="Sebutkan Jika Ada Pendampingan Lainnya,_x000a_Jika Tidak Ada Lainnya Diisi tanda &quot; - &quot;" sqref="F99" xr:uid="{00000000-0002-0000-0200-000063030000}">
      <formula1>IF(F98="Lainnya",3,1)</formula1>
      <formula2>IF(OR(F98="",F98="Tidak Ada",F97="Tidak Ada"),1,50)</formula2>
    </dataValidation>
    <dataValidation type="whole" showInputMessage="1" showErrorMessage="1" error="Terdapat Pendampingan diluar PLD min 1,_x000a_Tidak Terdapat Pendampingan diluar PLD diisi 0" promptTitle="Lama Pendampingan dari Luar" prompt=" (Bulan) diisi angka" sqref="F108" xr:uid="{00000000-0002-0000-0200-000064030000}">
      <formula1>IF(F97="Ada",1,0)</formula1>
      <formula2>IF(OR(F97="",F97="tidak ada"),0,60)</formula2>
    </dataValidation>
    <dataValidation type="textLength" showInputMessage="1" showErrorMessage="1" error="Tidak Terdapat Pelaksanaan Pendampingan Masyarakat diluar PLD diisi &quot; - &quot;,_x000a_Jika Ada mohon dapat diisi sesuai data yang ada di desa." promptTitle="Pdampingan Pberdayaan Masyarakat" prompt="Sebutkan_x000a_Tidak Ada diisi tanda &quot; - &quot;" sqref="F107" xr:uid="{00000000-0002-0000-0200-000065030000}">
      <formula1>IF(AND(COUNTIF(F102:F106,"Tidak Ada")=5,F97="Ada"),3,1)</formula1>
      <formula2>IF(OR(F97="",F97="tidak ada"),1,50)</formula2>
    </dataValidation>
    <dataValidation type="list" showInputMessage="1" showErrorMessage="1" promptTitle="P'dampingan Bidang Sosial Budaya" prompt="Ada_x000a_Tidak Ada" sqref="F104" xr:uid="{00000000-0002-0000-0200-000066030000}">
      <formula1>IF(OR(F97="",F97="Tidak Ada"),tidakada,adatidak)</formula1>
    </dataValidation>
    <dataValidation type="textLength" showInputMessage="1" showErrorMessage="1" promptTitle="Tanggal Perjanjian Kerjasama" prompt="Contoh_x000a_(7 Februari 2017)_x000a_Jika Tidak Ada diisi tanda  &quot; - &quot;" sqref="F1027" xr:uid="{00000000-0002-0000-0200-000067030000}">
      <formula1>1</formula1>
      <formula2>IF(OR(F1024="",F1024="tidak ada"),1,20)</formula2>
    </dataValidation>
    <dataValidation type="list" showInputMessage="1" showErrorMessage="1" promptTitle="Terdapat Perjanjian Kerjasama" prompt="Ada_x000a_Tidak Ada" sqref="F1024" xr:uid="{00000000-0002-0000-0200-000068030000}">
      <formula1>IF(OR(F1015="",F1015="Tidak ada"),tidakada,adatidak)</formula1>
    </dataValidation>
    <dataValidation type="textLength" allowBlank="1" showInputMessage="1" showErrorMessage="1" promptTitle="Kredit Lainnya (sebutkan)" prompt="Terdapat fasilitas kredit lainnya (sebutkan)_x000a_" sqref="F1264" xr:uid="{00000000-0002-0000-0200-000069030000}">
      <formula1>1</formula1>
      <formula2>IF(OR(F1263="",F1263="tidak ada"),1,50)</formula2>
    </dataValidation>
    <dataValidation type="textLength" showInputMessage="1" showErrorMessage="1" promptTitle="Sumber Air Minum Lainnya" prompt="Sebutkan_x000a_Jika tidak ada diisi tanda &quot; - &quot;" sqref="F606" xr:uid="{00000000-0002-0000-0200-00006A030000}">
      <formula1>1</formula1>
      <formula2>IF(OR(F605="",F605="tidak ada"),1,20)</formula2>
    </dataValidation>
    <dataValidation type="list" showInputMessage="1" showErrorMessage="1" promptTitle="Kerjasama Dengan Pihak Swasta" prompt="Ada_x000a_Tidak Ada" sqref="F1016" xr:uid="{00000000-0002-0000-0200-00006B030000}">
      <formula1>IF(OR(F1015="",F1015="Tidak ada"),tidakada,adatidak)</formula1>
    </dataValidation>
    <dataValidation type="textLength" showInputMessage="1" showErrorMessage="1" promptTitle="Nomor Perjanjian Kerjasama" prompt=" Jika Tidak Ada diisi tanda  &quot; - &quot;" sqref="F1025" xr:uid="{00000000-0002-0000-0200-00006C030000}">
      <formula1>1</formula1>
      <formula2>IF(OR(F1024="",F1024="tidak ada"),1,50)</formula2>
    </dataValidation>
    <dataValidation type="whole" showInputMessage="1" showErrorMessage="1" error="Tidak Lebih dari Jumlah KK memiliki Rumah di Desa" promptTitle="Jlh KK Miliki Rumah Non Permanen" prompt="Input Dengan Angka" sqref="F687" xr:uid="{00000000-0002-0000-0200-00006D030000}">
      <formula1>0</formula1>
      <formula2>IF(SUM(F683,F685,F687)&lt;=F681,F681,0)</formula2>
    </dataValidation>
    <dataValidation type="list" showInputMessage="1" showErrorMessage="1" promptTitle="Pengguna Bagi Hasil 1 Kecamatan" prompt="0: Tidak Ada_x000a_1: Pemberdayaan Masyarakat_x000a_2: Pembangunan_x000a_3: Pemerintahan_x000a_4: Budaya/ Agama_x000a_5: Olahraga_x000a_6: Lainnya" sqref="F1002" xr:uid="{00000000-0002-0000-0200-00006E030000}">
      <formula1>IF(OR(F995="",F995="tidak ada"),nol,satuenam)</formula1>
    </dataValidation>
    <dataValidation type="textLength" showInputMessage="1" showErrorMessage="1" promptTitle="Kerjasama Lainnya" prompt=" Jika Tidak Ada diisi tanda  &quot; - &quot;" sqref="F1020" xr:uid="{00000000-0002-0000-0200-00006F030000}">
      <formula1>IF(COUNTIF(F1016:F1019,"Tidak ada")=4,4,1)</formula1>
      <formula2>IF(OR(F1015="",F1015="Tidak ada"),1,20)</formula2>
    </dataValidation>
    <dataValidation type="whole" showInputMessage="1" showErrorMessage="1" promptTitle="Jarak Bank Pemerintah T'dekat" prompt="(Meter)" sqref="F1260" xr:uid="{00000000-0002-0000-0200-000070030000}">
      <formula1>0</formula1>
      <formula2>IF(OR(F1259="tidak ada"),0,150000)</formula2>
    </dataValidation>
    <dataValidation type="list" showInputMessage="1" showErrorMessage="1" promptTitle="PLD Dilibatkan Pendampingan Luar" prompt="0: Tidak Ada Pendampingan dari Luar_x000a_1: PLD Tidak Dilibatkan_x000a_2: PLD Dilibatkan" sqref="F112" xr:uid="{00000000-0002-0000-0200-000071030000}">
      <formula1>IF(OR(F97="",F97="Tidak ada"),nol,satudua)</formula1>
    </dataValidation>
    <dataValidation type="textLength" showInputMessage="1" showErrorMessage="1" promptTitle="Lama masa jabatan Plt/Sekdes" prompt="Tahun dan Bulan_x000a_Jika Tidak Ada diisi &quot; - &quot;" sqref="F11" xr:uid="{00000000-0002-0000-0200-000072030000}">
      <formula1>1</formula1>
      <formula2>IF(OR(F6="",F6="tidak ada"),1,20)</formula2>
    </dataValidation>
    <dataValidation type="textLength" showInputMessage="1" showErrorMessage="1" promptTitle="Periode Kerjasama" prompt="contoh_x000a_(5 April 2021 sd 5 April 2022)_x000a_Jika Tidak Ada diisi tanda  &quot; - &quot;" sqref="F1028" xr:uid="{00000000-0002-0000-0200-000073030000}">
      <formula1>1</formula1>
      <formula2>IF(OR(F1024="",F1024="tidak ada"),1,50)</formula2>
    </dataValidation>
    <dataValidation type="textLength" showInputMessage="1" showErrorMessage="1" error="Jika Tidak Ada Bencana Lainnya diisi &quot; - &quot;_x000a_jika Ada dijawab" promptTitle="Bencana Lainnya" prompt="Sebutkan Bencana Lainnya" sqref="F1287" xr:uid="{00000000-0002-0000-0200-000074030000}">
      <formula1>IF(F1285="Ada",4,1)</formula1>
      <formula2>IF(OR(F1285="",F1285="tidak ada",F1286=0,F1286=""),1,20)</formula2>
    </dataValidation>
    <dataValidation type="textLength" showInputMessage="1" showErrorMessage="1" errorTitle="Agama Lain di Desa" error="Jika Tidak Ada diisi &quot; - &quot;_x000a_jika Ada Sebutkan" promptTitle=" Agama/ Kepercayaan Lain di desa" prompt="Agama Lainnya Selain yang Disebutkan" sqref="F700" xr:uid="{00000000-0002-0000-0200-000075030000}">
      <formula1>IF(F699="Ada",4,1)</formula1>
      <formula2>IF(OR(F699="",F699="tidak ada"),1,20)</formula2>
    </dataValidation>
    <dataValidation type="list" showInputMessage="1" showErrorMessage="1" promptTitle="Tdapat Bumdesa Usaha" prompt="Terdapat Bumdesa Usaha Bidang Karaoke_x000a_Ada_x000a_Tidak Ada" sqref="F1226" xr:uid="{00000000-0002-0000-0200-000076030000}">
      <formula1>IF(OR(F1223="",F1223="Tidak ada"),tidakada,adatidak)</formula1>
    </dataValidation>
    <dataValidation type="list" showInputMessage="1" showErrorMessage="1" promptTitle="Jenis Program Kerja" prompt="0: Tidak Ada_x000a_1: Bantuan Sosial_x000a_2: Forum Silahturahmi Kelompok SPP_x000a_3: Peningkatan Kapasitas Pengurusan BKAD_x000a_4: BUMDesma_x000a_5: Studi Banding_x000a_6: Lainnya" sqref="F1040" xr:uid="{00000000-0002-0000-0200-000077030000}">
      <formula1>IF(OR(F1031="",F1031="Tidak ada"),nol,satuenam)</formula1>
    </dataValidation>
    <dataValidation type="list" showInputMessage="1" showErrorMessage="1" promptTitle="Tdapat Bumdesa Bid Sampah" prompt="Ada_x000a_Tidak Ada" sqref="F1192" xr:uid="{00000000-0002-0000-0200-000078030000}">
      <formula1>IF(OR(F1189="",F1189="tidak ada"),tidakada,adatidak)</formula1>
    </dataValidation>
    <dataValidation type="textLength" showInputMessage="1" showErrorMessage="1" error="Terdapat Sarana Informasi Lainnya, Sebutkan" promptTitle="Sarana informasi lainnya" prompt="(sebutkan)" sqref="F677" xr:uid="{00000000-0002-0000-0200-000079030000}">
      <formula1>IF(F676="Ada",4,1)</formula1>
      <formula2>IF(OR(F676="",F676="Tidak ada"),1,20)</formula2>
    </dataValidation>
    <dataValidation type="list" showInputMessage="1" showErrorMessage="1" promptTitle="Tdapat Bumdesa Keuangan" prompt="Terdapat Bumdesa Keuangan Bidang Koperasi _x000a_Ada_x000a_Tidak Ada" sqref="F1214" xr:uid="{00000000-0002-0000-0200-00007A030000}">
      <formula1>IF(OR(F1207="",F1207="tidak ada"),tidakada,adatidak)</formula1>
    </dataValidation>
    <dataValidation type="list" showInputMessage="1" showErrorMessage="1" promptTitle="Tidak Lanjut Pemdes Pendampingan" prompt="0: Tidak Ada Pendampingan dari Luar_x000a_1: Tidak ada Tindak Lanjut dari Pemdes_x000a_2: Ada Tindak Lanjut dari Pemdes" sqref="F113" xr:uid="{00000000-0002-0000-0200-00007B030000}">
      <formula1>IF(OR(F97="",F97="Tidak ada"),nol,satudua)</formula1>
    </dataValidation>
    <dataValidation type="list" showInputMessage="1" showErrorMessage="1" promptTitle="Tdapat Bumdesa Pariwisata" prompt="Terdapat Bumdesa Parawisita Bidang Wisata Desa_x000a_Ada_x000a_Tidak Ada" sqref="F1228" xr:uid="{00000000-0002-0000-0200-00007C030000}">
      <formula1>IF(OR(F1227="",F1227="Tidak ada"),tidakada,adatidak)</formula1>
    </dataValidation>
    <dataValidation type="list" showInputMessage="1" showErrorMessage="1" promptTitle="Pendidikan Terakhir Plt/Sekdes" prompt="0. Tidak Pernah Sekolah_x000a_1. Tamat S3_x000a_2. Tamat S2_x000a_3. Tamat S1/DIV_x000a_4. Tamat Akademi DIII_x000a_5. Tamat SLTA/ Sederajat_x000a_6. Tamat SLTP/ Sederajat_x000a_7. Tamat SD/ Sederajat_x000a_8. Tidak Tamat SD/sederajat" sqref="F10" xr:uid="{00000000-0002-0000-0200-00007D030000}">
      <formula1>IF(OR(F6="",F6="tidak ada"),strip,tamatpendidikan)</formula1>
    </dataValidation>
    <dataValidation type="list" showInputMessage="1" showErrorMessage="1" promptTitle="Tdapat Bumdesa Keuangan" prompt="Terdapat Bumdesa Keuangan Bidang BRI Link _x000a_Ada_x000a_Tidak Ada" sqref="F1211" xr:uid="{00000000-0002-0000-0200-00007E030000}">
      <formula1>IF(OR(F1207="",F1207="tidak ada"),tidakada,adatidak)</formula1>
    </dataValidation>
    <dataValidation type="textLength" showInputMessage="1" showErrorMessage="1" promptTitle="Bidang Kerjasama Bumdes Pihak 3" prompt="Lainnya Sebutkan _x000a_Jika Tidak Ada diisi tanda  &quot; - &quot;" sqref="F1023" xr:uid="{00000000-0002-0000-0200-00007F030000}">
      <formula1>1</formula1>
      <formula2>IF(OR(F1022="",F1022&lt;&gt;7),1,50)</formula2>
    </dataValidation>
    <dataValidation type="textLength" showInputMessage="1" showErrorMessage="1" promptTitle="Peran Tokoh Lainnya" prompt="Mediator Lainnya, Sebutkan" sqref="F733" xr:uid="{00000000-0002-0000-0200-000080030000}">
      <formula1>1</formula1>
      <formula2>IF(OR(F732="",F732="tidak ada"),1,50)</formula2>
    </dataValidation>
    <dataValidation type="list" showInputMessage="1" showErrorMessage="1" promptTitle="Tdapat Bumdesa Keuangan" prompt="Terdapat Bumdesa Keuangan Bidang PPOB _x000a_Ada_x000a_Tidak Ada" sqref="F1215" xr:uid="{00000000-0002-0000-0200-000081030000}">
      <formula1>IF(OR(F1207="",F1207="tidak ada"),tidakada,adatidak)</formula1>
    </dataValidation>
    <dataValidation type="list" showInputMessage="1" showErrorMessage="1" promptTitle="Kerjasama Dengan Pihak BUMN" prompt="Ada_x000a_Tidak Ada" sqref="F1019" xr:uid="{00000000-0002-0000-0200-000082030000}">
      <formula1>IF(OR(F1015="",F1015="Tidak ada"),tidakada,adatidak)</formula1>
    </dataValidation>
    <dataValidation type="list" showInputMessage="1" showErrorMessage="1" promptTitle="Kondisi KK Miliki Rumah Permanen" prompt="Tidak Ada_x000a_Baik_x000a_Sedang_x000a_Rusak" sqref="F684" xr:uid="{00000000-0002-0000-0200-000083030000}">
      <formula1>IF(OR(F683="",F683=0),tidakada,rumah)</formula1>
    </dataValidation>
    <dataValidation type="list" showInputMessage="1" showErrorMessage="1" promptTitle="Tdapat Bumdesa Keuangan" prompt="Terdapat Bumdesa Keuangan Bidang UED SP _x000a_Ada_x000a_Tidak Ada" sqref="F1209" xr:uid="{00000000-0002-0000-0200-000084030000}">
      <formula1>IF(OR(F1207="",F1207="tidak ada"),tidakada,adatidak)</formula1>
    </dataValidation>
    <dataValidation type="whole" showInputMessage="1" showErrorMessage="1" error="Tidak Lebih dari Jumlah KK memiliki Rumah di Desa" promptTitle="Jlh KK yg Miliki Rumah Permanen" prompt="Input Dengan Angka" sqref="F683" xr:uid="{00000000-0002-0000-0200-000085030000}">
      <formula1>0</formula1>
      <formula2>IF(SUM(F683,F685,F687)&lt;=F681,F681,0)</formula2>
    </dataValidation>
    <dataValidation type="whole" showInputMessage="1" showErrorMessage="1" error="Tidak Lebih dari Jumlah KK memiliki Rumah di Desa" promptTitle="Jlh KK Miliki Rumah SemiPermanen" prompt="Input Dengan Angka" sqref="F685" xr:uid="{00000000-0002-0000-0200-000086030000}">
      <formula1>0</formula1>
      <formula2>IF(SUM(F683,F685,F687)&lt;=F681,F681,0)</formula2>
    </dataValidation>
    <dataValidation type="list" showInputMessage="1" showErrorMessage="1" promptTitle="Tdapat Bumdesa Perantara" prompt="Terdapat Bumdesa Perantara Bidang Percetakan_x000a_Ada_x000a_Tidak Ada" sqref="F1220" xr:uid="{00000000-0002-0000-0200-000087030000}">
      <formula1>IF(OR(F1216="",F1216="tidak ada"),tidakada,adatidak)</formula1>
    </dataValidation>
    <dataValidation type="list" showInputMessage="1" showErrorMessage="1" promptTitle="Kondisi KK  Rumah Non Permanen" prompt="Tidak Ada_x000a_Baik_x000a_Sedang_x000a_Rusak" sqref="F688" xr:uid="{00000000-0002-0000-0200-000088030000}">
      <formula1>IF(OR(F687="",F687=0),tidakada,rumah)</formula1>
    </dataValidation>
    <dataValidation type="list" showInputMessage="1" showErrorMessage="1" promptTitle="Kerjasama Pihak Perguruan Tinggi" prompt="Ada_x000a_Tidak Ada" sqref="F1018" xr:uid="{00000000-0002-0000-0200-000089030000}">
      <formula1>IF(OR(F1015="",F1015="Tidak ada"),tidakada,adatidak)</formula1>
    </dataValidation>
    <dataValidation type="list" showInputMessage="1" showErrorMessage="1" promptTitle="Tdapat Bumdesa Perantara" prompt="Terdapat Bumdesa Perantara Bidang Penggilingan Padi_x000a_Ada_x000a_Tidak Ada" sqref="F1222" xr:uid="{00000000-0002-0000-0200-00008A030000}">
      <formula1>IF(OR(F1216="",F1216="tidak ada"),tidakada,adatidak)</formula1>
    </dataValidation>
    <dataValidation type="list" showInputMessage="1" showErrorMessage="1" promptTitle="Tdapat Bumdesa Perantara" prompt="Terdapat Bumdesa Perantara Bidang Photo Copy_x000a_Ada_x000a_Tidak Ada" sqref="F1221" xr:uid="{00000000-0002-0000-0200-00008B030000}">
      <formula1>IF(OR(F1216="",F1216="tidak ada"),tidakada,adatidak)</formula1>
    </dataValidation>
    <dataValidation type="list" showInputMessage="1" showErrorMessage="1" promptTitle="Keaktifan BKAD" prompt="Aktif_x000a_Tidak Aktif" sqref="F1032" xr:uid="{00000000-0002-0000-0200-00008C030000}">
      <formula1>IF(OR(F995="",F995="tidak ada"),tidakaktif,aktiftidak)</formula1>
    </dataValidation>
    <dataValidation type="list" showInputMessage="1" showErrorMessage="1" promptTitle="Bidang Terdampak Pendampingan" prompt="0: Tidak Ada Pendampingan_x000a_1: Bidang Ekonomi_x000a_2: Bidang Sosial Budaya_x000a_3: Bidang Pemberdayaan Masyarakat_x000a_4. Lainnya_x000a_5. Tidak Ada Dampak" sqref="F110" xr:uid="{00000000-0002-0000-0200-00008D030000}">
      <formula1>IF(OR(F97="",F97="Tidak ada"),nol,satulima)</formula1>
    </dataValidation>
    <dataValidation type="list" showInputMessage="1" showErrorMessage="1" promptTitle="Tdapat Bumdesa Usaha" prompt="Terdapat Bumdesa Usaha Bidang Penjualan Tiket_x000a_Ada_x000a_Tidak Ada" sqref="F1225" xr:uid="{00000000-0002-0000-0200-00008E030000}">
      <formula1>IF(OR(F1223="",F1223="Tidak ada"),tidakada,adatidak)</formula1>
    </dataValidation>
    <dataValidation type="list" showInputMessage="1" showErrorMessage="1" promptTitle="Tdapat Bumdesa Pariwisata" prompt="Terdapat Bumdesa Parawisita Bidang Transportasi_x000a_Ada_x000a_Tidak Ada" sqref="F1231" xr:uid="{00000000-0002-0000-0200-00008F030000}">
      <formula1>IF(OR(F1227="",F1227="Tidak ada"),tidakada,adatidak)</formula1>
    </dataValidation>
    <dataValidation type="textLength" showInputMessage="1" showErrorMessage="1" promptTitle="Adanya Lembaga lainnya" prompt="(Sebutkan)_x000a_Jika Tidak Ada, Diisi &quot; - &quot;" sqref="F69" xr:uid="{00000000-0002-0000-0200-000090030000}">
      <formula1>1</formula1>
      <formula2>IF(F68="ada",30,1)</formula2>
    </dataValidation>
    <dataValidation type="textLength" showInputMessage="1" showErrorMessage="1" error="Jika Tidak Ada Diisi &quot; - &quot;" promptTitle="Sebutkan Operator lainnya" prompt="Operator / provider telepon seluler lainnya dapat menerima sinyal (sebutkan)._x000a_Jika tida ada diisi &quot; - &quot;" sqref="F644" xr:uid="{00000000-0002-0000-0200-000091030000}">
      <formula1>1</formula1>
      <formula2>IF(OR(F643="",F643="Tidak ada"),1,20)</formula2>
    </dataValidation>
    <dataValidation type="list" showInputMessage="1" showErrorMessage="1" promptTitle="Tdapat Bumdesa Keuangan" prompt="Terdapat Bumdesa Keuangan Bidang Simpan Pinjam _x000a_Ada_x000a_Tidak Ada" sqref="F1208" xr:uid="{00000000-0002-0000-0200-000092030000}">
      <formula1>IF(OR(F1207="",F1207="tidak ada"),tidakada,adatidak)</formula1>
    </dataValidation>
    <dataValidation type="textLength" showInputMessage="1" showErrorMessage="1" promptTitle="Nama Isntitusi yg Kerjasama" prompt=" Jika Tidak Ada diisi tanda  &quot; - &quot;" sqref="F1021" xr:uid="{00000000-0002-0000-0200-000093030000}">
      <formula1>1</formula1>
      <formula2>IF(OR(F1015="",F1015="Tidak ada"),1,20)</formula2>
    </dataValidation>
    <dataValidation type="list" showInputMessage="1" showErrorMessage="1" promptTitle="Tdapat Bumdesa Perantara" prompt="Terdapat Bumdesa Perantara Bidang Jasa_x000a_Ada_x000a_Tidak Ada" sqref="F1217" xr:uid="{00000000-0002-0000-0200-000094030000}">
      <formula1>IF(OR(F1216="",F1216="tidak ada"),tidakada,adatidak)</formula1>
    </dataValidation>
    <dataValidation type="list" showInputMessage="1" showErrorMessage="1" promptTitle="Tdapat Bumdesa Usaha" prompt="Terdapat Bumdesa Usaha Bidang Kelompok Usaha_x000a_Ada_x000a_Tidak Ada" sqref="F1224" xr:uid="{00000000-0002-0000-0200-000095030000}">
      <formula1>IF(OR(F1223="",F1223="Tidak ada"),tidakada,adatidak)</formula1>
    </dataValidation>
    <dataValidation type="list" showInputMessage="1" showErrorMessage="1" promptTitle="Tdapat Bumdesa Pariwisata" prompt="Terdapat Bumdesa Parawisita Bidang Wisata Alam_x000a_Ada_x000a_Tidak Ada" sqref="F1230" xr:uid="{00000000-0002-0000-0200-000096030000}">
      <formula1>IF(OR(F1227="",F1227="Tidak ada"),tidakada,adatidak)</formula1>
    </dataValidation>
    <dataValidation type="list" showInputMessage="1" showErrorMessage="1" promptTitle="Tdapat Bumdesa Keuangan" prompt="Terdapat Bumdesa Keuangan Bidang Kredit _x000a_Ada_x000a_Tidak Ada" sqref="F1213" xr:uid="{00000000-0002-0000-0200-000097030000}">
      <formula1>IF(OR(F1207="",F1207="tidak ada"),tidakada,adatidak)</formula1>
    </dataValidation>
    <dataValidation type="list" showInputMessage="1" showErrorMessage="1" promptTitle="Tdapat Bumdesa Jasa Penyewaan" prompt="Ada_x000a_Tidak Ada" sqref="F1198" xr:uid="{00000000-0002-0000-0200-000098030000}">
      <formula1>IF(OR(F1194="",F1194="tidak ada"),tidakada,adatidak)</formula1>
    </dataValidation>
    <dataValidation type="list" showInputMessage="1" showErrorMessage="1" promptTitle="Panjang Jalan Rusak ke Wisata" prompt="&lt;100 meter_x000a_100-500 meter_x000a_500-1.000 meter_x000a_1.000-1.500 meter_x000a_&gt;1500 meter" sqref="F198" xr:uid="{00000000-0002-0000-0200-000099030000}">
      <formula1>IF(OR(F191="",F191="tidak ada"),tidakada,IF(F196="&lt;500 meter",k5ratus,L5ratus))</formula1>
    </dataValidation>
    <dataValidation type="whole" showInputMessage="1" showErrorMessage="1" error="Jumlah pengajar SMP tidak lebih dari 40 orang" promptTitle="Jlh Pengajar SMP/MTs" prompt=" " sqref="F503" xr:uid="{00000000-0002-0000-0200-00009A030000}">
      <formula1>0</formula1>
      <formula2>40</formula2>
    </dataValidation>
    <dataValidation type="whole" showInputMessage="1" showErrorMessage="1" error="Jumlah pengajar SMA tidak lebih dari 40 orang" promptTitle="Jlh Pengajar SMU/MA/SMK" prompt=" " sqref="F508" xr:uid="{00000000-0002-0000-0200-00009B030000}">
      <formula1>0</formula1>
      <formula2>40</formula2>
    </dataValidation>
    <dataValidation type="whole" showInputMessage="1" showErrorMessage="1" error="Jumlah pengajar SD tidak lebih 40 orang" promptTitle="Jlh Pengajar SD/MI" prompt=" " sqref="F499" xr:uid="{00000000-0002-0000-0200-00009C030000}">
      <formula1>0</formula1>
      <formula2>40</formula2>
    </dataValidation>
    <dataValidation type="decimal" showInputMessage="1" showErrorMessage="1" promptTitle="Total Luas Wilayah Desa" prompt="(Dalam Satuan Luas Ha)_x000a_1 Km2 = 100 Ha" sqref="F128" xr:uid="{00000000-0002-0000-0200-00009D030000}">
      <formula1>0</formula1>
      <formula2>42900</formula2>
    </dataValidation>
    <dataValidation type="whole" showInputMessage="1" showErrorMessage="1" error="Tidak Lebih dari Jumlah Anak Usia &lt;19 Tahun di Desa._x000a_Cek Kuesioner Indeks Desa" promptTitle="Jlh Tunanetra &lt;19 thn Sekolah" prompt=" " sqref="F515" xr:uid="{00000000-0002-0000-0200-00009E030000}">
      <formula1>0</formula1>
      <formula2>IF(H511=0,0,H511)</formula2>
    </dataValidation>
    <dataValidation type="whole" showInputMessage="1" showErrorMessage="1" error="Tidak Lebih dari Jumlah Anak Usia &lt;19 Tahun di Desa._x000a_Cek Kuesioner Indeks Desa" promptTitle="Jlh Tunagrahita &lt;19 thn Sekolah" prompt=" " sqref="F513" xr:uid="{00000000-0002-0000-0200-00009F030000}">
      <formula1>0</formula1>
      <formula2>IF(H511=0,0,H511)</formula2>
    </dataValidation>
    <dataValidation type="whole" showInputMessage="1" showErrorMessage="1" error="Tidak Lebih dari Jumlah Anak Usia &lt;19 Tahun di Desa._x000a_Cek Kuesioner Indeks Desa" promptTitle="Jlh Tunalaras &lt;19 thn Sekolah" prompt=" " sqref="F519" xr:uid="{00000000-0002-0000-0200-0000A0030000}">
      <formula1>0</formula1>
      <formula2>IF(H511=0,0,H511)</formula2>
    </dataValidation>
    <dataValidation type="whole" showInputMessage="1" showErrorMessage="1" error="Tidak Lebih dari Jumlah Anak Usia &lt;19 Tahun di Desa._x000a_Cek Kuesioner Indeks Desa" promptTitle="Jlh Tunalaras &lt;19 thn tdk sklh" prompt=" " sqref="F520" xr:uid="{00000000-0002-0000-0200-0000A1030000}">
      <formula1>0</formula1>
      <formula2>IF(H512=0,0,H512)</formula2>
    </dataValidation>
    <dataValidation type="whole" showInputMessage="1" showErrorMessage="1" error="Tidak Lebih dari Jumlah Anak Usia &lt;19 Tahun di Desa._x000a_Cek Kuesioner Indeks Desa" promptTitle="Jlh Tunarungu &lt;19 thn Sekolah" prompt=" " sqref="F517" xr:uid="{00000000-0002-0000-0200-0000A2030000}">
      <formula1>0</formula1>
      <formula2>IF(H511=0,0,H511)</formula2>
    </dataValidation>
    <dataValidation type="whole" allowBlank="1" showInputMessage="1" showErrorMessage="1" error="Tidak Lebih dari Jumlah Anak Usia &lt;19 Tahun di Desa._x000a_Cek Kuesioner Indeks Desa" promptTitle="Jlh Tunagrahita &lt;19 thn tdk sklh" prompt=" " sqref="F514" xr:uid="{00000000-0002-0000-0200-0000A3030000}">
      <formula1>0</formula1>
      <formula2>IF(H512=0,0,H512)</formula2>
    </dataValidation>
    <dataValidation type="whole" showInputMessage="1" showErrorMessage="1" error="Tidak Lebih dari Jumlah Anak Usia &lt;19 Tahun di Desa._x000a_Cek Kuesioner Indeks Desa" promptTitle="Jlh Tunanetra &lt;19 thn tdk sklh" prompt=" " sqref="F516" xr:uid="{00000000-0002-0000-0200-0000A4030000}">
      <formula1>0</formula1>
      <formula2>IF(H512=0,0,H512)</formula2>
    </dataValidation>
    <dataValidation type="whole" showInputMessage="1" showErrorMessage="1" error="Tidak Lebih dari Jumlah Anak Usia &lt;19 Tahun di Desa._x000a_Cek Kuesioner Indeks Desa" promptTitle="Jlh Tunadaksa &lt;19thn Sekolah" prompt=" " sqref="F521" xr:uid="{00000000-0002-0000-0200-0000A5030000}">
      <formula1>0</formula1>
      <formula2>IF(H511=0,0,H511)</formula2>
    </dataValidation>
    <dataValidation type="whole" showInputMessage="1" showErrorMessage="1" error="Tidak Lebih dari Jumlah Anak Usia &lt;19 Tahun di Desa._x000a_Cek Kuesioner Indeks Desa" promptTitle="Jlh Tunarungu &lt;19 thn tdk sklh" prompt=" " sqref="F518" xr:uid="{00000000-0002-0000-0200-0000A6030000}">
      <formula1>0</formula1>
      <formula2>IF(H512=0,0,H512)</formula2>
    </dataValidation>
    <dataValidation type="whole" showInputMessage="1" showErrorMessage="1" error="Tidak Lebih dari Jumlah Anak Usia &lt;19 Tahun di Desa._x000a_Cek Kuesioner Indeks Desa" promptTitle="Jlh Tunadaksa &lt;19 thn tdk sklh" prompt=" " sqref="F522" xr:uid="{00000000-0002-0000-0200-0000A7030000}">
      <formula1>0</formula1>
      <formula2>IF(H512=0,0,H512)</formula2>
    </dataValidation>
    <dataValidation showInputMessage="1" showErrorMessage="1" error="Cek Kuesioner Indeks Desa._x000a_Jaminan Kesehatan Nasional" promptTitle="Pemanfaatan BPJS" prompt="Tidak Ada_x000a_Ya, Sebagian Besar_x000a_Ya, Sebagian Kecil" sqref="F580" xr:uid="{00000000-0002-0000-0200-0000A8030000}"/>
    <dataValidation showInputMessage="1" showErrorMessage="1" promptTitle="Waktu Tempuh (Terisi Otomatis)" prompt="Diukur dari Kantor Desa atau Pusat Keramaian_x000a_Menggunakan Kendaraan Bermotor_x000a__x000a_Asumsi Kecepatan 35 Km/Jam" sqref="F574 F539 F543 F547 F551 F555 F559 F563 F567 F570 F1404 F1409 F1414" xr:uid="{00000000-0002-0000-0200-0000A9030000}"/>
    <dataValidation type="textLength" showInputMessage="1" showErrorMessage="1" promptTitle="Wilayah Tujuan Pasar Domestik" prompt="Sebutkan Nama Pasar dan lokasi Kab/Kota _x000a_Jika Tidak Ada diisi &quot; - &quot;_x000a__x000a_Contoh: Pasar Induk Kramat, Jakarta" sqref="F1076 F1055 F1069" xr:uid="{00000000-0002-0000-0200-0000AA030000}">
      <formula1>IF(F1053&lt;&gt;"Tidak Ada",4,1)</formula1>
      <formula2>IF(OR(F1054="",F1054=0),1,50)</formula2>
    </dataValidation>
    <dataValidation type="textLength" showInputMessage="1" showErrorMessage="1" promptTitle="Wilayah Tujuan Pasar Domestik" prompt="Sebutkan Nama Pasar dan lokasi Kab/Kota _x000a_Jika Tidak Ada diisi &quot; - &quot;_x000a__x000a_Contoh: Pasar Induk Kramat, Jakarta" sqref="F1062" xr:uid="{00000000-0002-0000-0200-0000AB030000}">
      <formula1>IF(F1060&lt;&gt;"Tidak Ada",3,1)</formula1>
      <formula2>IF(OR(F1061="",F1061=0),1,50)</formula2>
    </dataValidation>
  </dataValidations>
  <pageMargins left="0.7" right="0.7" top="0.75" bottom="0.75" header="0.3" footer="0.3"/>
  <ignoredErrors>
    <ignoredError sqref="J8" formula="1"/>
  </ignoredErrors>
  <drawing r:id="rId1"/>
  <extLst>
    <ext xmlns:x14="http://schemas.microsoft.com/office/spreadsheetml/2009/9/main" uri="{78C0D931-6437-407d-A8EE-F0AAD7539E65}">
      <x14:conditionalFormattings>
        <x14:conditionalFormatting xmlns:xm="http://schemas.microsoft.com/office/excel/2006/main">
          <x14:cfRule type="dataBar" id="{3BEA7CAC-A982-4D90-8C76-9778D776957F}">
            <x14:dataBar minLength="0" maxLength="100" gradient="0">
              <x14:cfvo type="autoMin"/>
              <x14:cfvo type="autoMax"/>
              <x14:negativeFillColor rgb="FFFF0000"/>
              <x14:axisColor rgb="FF000000"/>
            </x14:dataBar>
          </x14:cfRule>
          <xm:sqref>A2 J4</xm:sqref>
        </x14:conditionalFormatting>
        <x14:conditionalFormatting xmlns:xm="http://schemas.microsoft.com/office/excel/2006/main">
          <x14:cfRule type="dataBar" id="{C7E137F1-07AA-4651-BAE0-0819FC444B15}">
            <x14:dataBar minLength="0" maxLength="100" gradient="0">
              <x14:cfvo type="autoMin"/>
              <x14:cfvo type="autoMax"/>
              <x14:negativeFillColor rgb="FFFF0000"/>
              <x14:axisColor rgb="FF000000"/>
            </x14:dataBar>
          </x14:cfRule>
          <xm:sqref>J4</xm:sqref>
        </x14:conditionalFormatting>
      </x14:conditionalFormattings>
    </ext>
    <ext xmlns:x14="http://schemas.microsoft.com/office/spreadsheetml/2009/9/main" uri="{CCE6A557-97BC-4b89-ADB6-D9C93CAAB3DF}">
      <x14:dataValidations xmlns:xm="http://schemas.microsoft.com/office/excel/2006/main" xWindow="1131" yWindow="582" count="200">
        <x14:dataValidation type="list" showInputMessage="1" showErrorMessage="1" error="Tidak Terdapat Aset Pasar Desa._x000a_Cek Kuesioner Indeks Desa Aset Pasar" promptTitle="Terdapat Pasar Hewan" prompt="Ada_x000a_Tidak Ada" xr:uid="{00000000-0002-0000-0200-0000AC030000}">
          <x14:formula1>
            <xm:f>IF(OR('INPUTAN DESA ....'!$F$154=1,'INPUTAN DESA ....'!$F$153=""),tidakada,adatidak)</xm:f>
          </x14:formula1>
          <xm:sqref>F1394</xm:sqref>
        </x14:dataValidation>
        <x14:dataValidation type="list" showInputMessage="1" showErrorMessage="1" error="Tidak Terdapat Aset Pasar Desa._x000a_Cek Kuesioner Indeks Desa Aset Pasar" promptTitle="Terdapat Pasar Lelang Pertanian" prompt="Ada_x000a_Tidak Ada" xr:uid="{00000000-0002-0000-0200-0000AD030000}">
          <x14:formula1>
            <xm:f>IF(OR('INPUTAN DESA ....'!$F$153=1,'INPUTAN DESA ....'!$F$153=""),tidakada,adatidak)</xm:f>
          </x14:formula1>
          <xm:sqref>F1396</xm:sqref>
        </x14:dataValidation>
        <x14:dataValidation type="list" showInputMessage="1" showErrorMessage="1" error="Tidak Terdapat Aset Pasar Desa._x000a_Cek Kuesioner Indeks Desa Aset Pasar" promptTitle="Terdapat Pasar Pelelangan Ikan" prompt="Ada_x000a_Tidak Ada" xr:uid="{00000000-0002-0000-0200-0000AE030000}">
          <x14:formula1>
            <xm:f>IF(OR('INPUTAN DESA ....'!$F$153=1,'INPUTAN DESA ....'!$F$153=""),tidakada,adatidak)</xm:f>
          </x14:formula1>
          <xm:sqref>F1395</xm:sqref>
        </x14:dataValidation>
        <x14:dataValidation type="whole" showInputMessage="1" showErrorMessage="1" error="Cek Kuesioner Indeks Desa._x000a_keberadaan Sumber Listrik dari Angin" promptTitle="Jlh Rmh Manfaatkn Energi Angin" prompt="diisi angka" xr:uid="{00000000-0002-0000-0200-0000AF030000}">
          <x14:formula1>
            <xm:f>0</xm:f>
          </x14:formula1>
          <x14:formula2>
            <xm:f>IF(OR('INPUTAN DESA ....'!$F$557="",'INPUTAN DESA ....'!$F$557="tidak ada"),0,(10%*'INPUTAN DESA ....'!$F$124))</xm:f>
          </x14:formula2>
          <xm:sqref>F625</xm:sqref>
        </x14:dataValidation>
        <x14:dataValidation type="list" showInputMessage="1" showErrorMessage="1" error="Tidak Terdapat Penerangan Jalan Umum_x000a_Cek Kuesioner Indeks Desa" promptTitle="Sumber Energi PJU Diesel Non PLN" prompt="Ada_x000a_Tidak Ada" xr:uid="{00000000-0002-0000-0200-0000B0030000}">
          <x14:formula1>
            <xm:f>IF(OR('INPUTAN DESA ....'!$F$537="",'INPUTAN DESA ....'!$F$537=1),tidakada,adatidak)</xm:f>
          </x14:formula1>
          <xm:sqref>F1373</xm:sqref>
        </x14:dataValidation>
        <x14:dataValidation type="list" showInputMessage="1" showErrorMessage="1" error="Tidak Terdapat Penerangan Jalan Umum_x000a_Cek Kuesioner Indeks Desa" promptTitle="Sumber Energi PJU dr EBT Non PLN" prompt="Ada_x000a_Tidak Ada" xr:uid="{00000000-0002-0000-0200-0000B1030000}">
          <x14:formula1>
            <xm:f>IF(OR('INPUTAN DESA ....'!$F$537="",'INPUTAN DESA ....'!$F$537=1),tidakada,adatidak)</xm:f>
          </x14:formula1>
          <xm:sqref>F1374</xm:sqref>
        </x14:dataValidation>
        <x14:dataValidation type="list" showInputMessage="1" showErrorMessage="1" error="Tidak Terdapat Penerangan Jalan Umum_x000a_Cek Kuesioner Indeks Desa" promptTitle="Sumber Energi PJU dari PLN" prompt="Ada_x000a_Tidak Ada" xr:uid="{00000000-0002-0000-0200-0000B2030000}">
          <x14:formula1>
            <xm:f>IF(OR('INPUTAN DESA ....'!$F$537="",'INPUTAN DESA ....'!$F$537=1),tidakada,adatidak)</xm:f>
          </x14:formula1>
          <xm:sqref>F1372</xm:sqref>
        </x14:dataValidation>
        <x14:dataValidation type="list" showInputMessage="1" showErrorMessage="1" error="Cek Kuesioner Indeks Desa_x000a_Terdapat Pencemaran Air di Desa" promptTitle="Adanya Limbah di Sungai" prompt="Ada_x000a_Tidak Ada" xr:uid="{00000000-0002-0000-0200-0000B3030000}">
          <x14:formula1>
            <xm:f>IF(OR('INPUTAN DESA ....'!$F$489="",'INPUTAN DESA ....'!$F$489=0),tidakada,adatidak)</xm:f>
          </x14:formula1>
          <xm:sqref>F1266</xm:sqref>
        </x14:dataValidation>
        <x14:dataValidation type="list" showInputMessage="1" showErrorMessage="1" error="Cek Kuesioner Indeks Desa Layanan Telekomunikasi, Keberadaan Internet di Desa" promptTitle="Internet Pendidikan Siswa &amp; guru" prompt="Ada_x000a_Tidak Ada" xr:uid="{00000000-0002-0000-0200-0000B4030000}">
          <x14:formula1>
            <xm:f>IF(OR('INPUTAN DESA ....'!$F$571=1,'INPUTAN DESA ....'!$F$571=""),tidakada,adatidak)</xm:f>
          </x14:formula1>
          <xm:sqref>F646</xm:sqref>
        </x14:dataValidation>
        <x14:dataValidation type="whole" showInputMessage="1" showErrorMessage="1" error="Tidak Lebih Besar dari Jumlah Rumah Teraliri Listrik PLN" promptTitle="Traliri Listrik PLN Tanpa Metern" prompt="diisi angka" xr:uid="{00000000-0002-0000-0200-0000B5030000}">
          <x14:formula1>
            <xm:f>0</xm:f>
          </x14:formula1>
          <x14:formula2>
            <xm:f>'INPUTAN DESA ....'!$F$553</xm:f>
          </x14:formula2>
          <xm:sqref>F620</xm:sqref>
        </x14:dataValidation>
        <x14:dataValidation type="whole" showInputMessage="1" showErrorMessage="1" error="Tidak lebih dari Jumlah Anak yang Bersekolah SMP/MTs/Sederajat di Desa._x000a_Cek Kuesioner Indeks Desa" promptTitle="Jlh Perempuan usia &gt;15 Lulus SMP" prompt="diisi angka" xr:uid="{00000000-0002-0000-0200-0000B6030000}">
          <x14:formula1>
            <xm:f>0</xm:f>
          </x14:formula1>
          <x14:formula2>
            <xm:f>'INPUTAN DESA ....'!$F$200</xm:f>
          </x14:formula2>
          <xm:sqref>F506</xm:sqref>
        </x14:dataValidation>
        <x14:dataValidation type="list" showInputMessage="1" showErrorMessage="1" promptTitle="Tambatn Perahu/Pelabuhan/Dermaga" prompt="Ada_x000a_Tidak Ada" xr:uid="{00000000-0002-0000-0200-0000B7030000}">
          <x14:formula1>
            <xm:f>IF(OR('INPUTAN DESA ....'!$F$115="Pesisir",'INPUTAN DESA ....'!$F$115="Kepulauan"),adatidak,tidakada)</xm:f>
          </x14:formula1>
          <xm:sqref>F467</xm:sqref>
        </x14:dataValidation>
        <x14:dataValidation type="whole" showInputMessage="1" showErrorMessage="1" error="Total Jumlah Jamban di Rumah Warga Sama Dengan dari Jumlah Rumah Di Desa" promptTitle="Jlh KK BAB Jamban Umum" prompt="Input dengan angka" xr:uid="{00000000-0002-0000-0200-0000B8030000}">
          <x14:formula1>
            <xm:f>0</xm:f>
          </x14:formula1>
          <x14:formula2>
            <xm:f>IF(SUM(F583:F586)&lt;='INPUTAN DESA ....'!$F$124,'INPUTAN DESA ....'!$F$124,0)</xm:f>
          </x14:formula2>
          <xm:sqref>F585</xm:sqref>
        </x14:dataValidation>
        <x14:dataValidation type="whole" showInputMessage="1" showErrorMessage="1" error="Total Jumlah Jamban di Rumah Warga Sama Dengan dari Jumlah Rumah Di Desa" promptTitle="Jlh KK BAB Jamban Sendiri" prompt="Input dengan angka" xr:uid="{00000000-0002-0000-0200-0000B9030000}">
          <x14:formula1>
            <xm:f>0</xm:f>
          </x14:formula1>
          <x14:formula2>
            <xm:f>IF(SUM(F583:F586)&lt;='INPUTAN DESA ....'!$F$124,'INPUTAN DESA ....'!$F$124,0)</xm:f>
          </x14:formula2>
          <xm:sqref>F583</xm:sqref>
        </x14:dataValidation>
        <x14:dataValidation type="whole" showInputMessage="1" showErrorMessage="1" error="Total Jumlah Jamban di Rumah Warga Sama Dengan dari Jumlah Rumah Di Desa" promptTitle="Jlh KK BAB Bukan Jamban" prompt="Input dengan angka" xr:uid="{00000000-0002-0000-0200-0000BA030000}">
          <x14:formula1>
            <xm:f>0</xm:f>
          </x14:formula1>
          <x14:formula2>
            <xm:f>IF(SUM(F583:F586)&lt;='INPUTAN DESA ....'!$F$124,'INPUTAN DESA ....'!$F$124,0)</xm:f>
          </x14:formula2>
          <xm:sqref>F586</xm:sqref>
        </x14:dataValidation>
        <x14:dataValidation type="whole" showInputMessage="1" showErrorMessage="1" error="Total Jumlah Jamban di Rumah Warga Sama Dengan dari Jumlah Rumah Di Desa" promptTitle="Jlh KK BAB Jamban Bersama" prompt="Input dengan angka" xr:uid="{00000000-0002-0000-0200-0000BB030000}">
          <x14:formula1>
            <xm:f>0</xm:f>
          </x14:formula1>
          <x14:formula2>
            <xm:f>IF(SUM(F583:F586)&lt;='INPUTAN DESA ....'!$F$124,'INPUTAN DESA ....'!$F$124,0)</xm:f>
          </x14:formula2>
          <xm:sqref>F584</xm:sqref>
        </x14:dataValidation>
        <x14:dataValidation type="whole" showInputMessage="1" showErrorMessage="1" error="Cek Kuesioner Indeks Desa._x000a_Keberadaan Sumber Air Sumur dan Tidak Lebih dari Jumlah Rumah di Desa" promptTitle="Jlh Rumah Sumber Air dari Sumur" prompt="diisi angka" xr:uid="{00000000-0002-0000-0200-0000BC030000}">
          <x14:formula1>
            <xm:f>0</xm:f>
          </x14:formula1>
          <x14:formula2>
            <xm:f>IF(OR('INPUTAN DESA ....'!$F$310="",'INPUTAN DESA ....'!$F$310="Tidak ada"),0,'INPUTAN DESA ....'!$F$124)</xm:f>
          </x14:formula2>
          <xm:sqref>F600</xm:sqref>
        </x14:dataValidation>
        <x14:dataValidation type="whole" showInputMessage="1" showErrorMessage="1" error="Cek Kuesioner Indeks Desa._x000a_Keberadaan Sumber Air Sumur Bor/ Pompa dan Tidak Lebih dari Jumlah Rumah di Desa" promptTitle="Jlh Rumah Sumber Air Sumur Bor" prompt="diisi angka" xr:uid="{00000000-0002-0000-0200-0000BD030000}">
          <x14:formula1>
            <xm:f>0</xm:f>
          </x14:formula1>
          <x14:formula2>
            <xm:f>IF(OR('INPUTAN DESA ....'!$F$309="",'INPUTAN DESA ....'!$F$309="Tidak ada"),0,'INPUTAN DESA ....'!$F$124)</xm:f>
          </x14:formula2>
          <xm:sqref>F599</xm:sqref>
        </x14:dataValidation>
        <x14:dataValidation type="whole" showInputMessage="1" showErrorMessage="1" error="Tidak Lebih dari Jumlah Rumah di Desa" promptTitle="Jlh Rmh Sumber Air Tanpa Meteran" prompt="diisi angka" xr:uid="{00000000-0002-0000-0200-0000BE030000}">
          <x14:formula1>
            <xm:f>IF(F597="Ada",1,0)</xm:f>
          </x14:formula1>
          <x14:formula2>
            <xm:f>IF(OR(F597="",F597="Tidak ada"),0,'INPUTAN DESA ....'!$F$124)</xm:f>
          </x14:formula2>
          <xm:sqref>F598</xm:sqref>
        </x14:dataValidation>
        <x14:dataValidation type="whole" showInputMessage="1" showErrorMessage="1" error="Tidak Lebih Besar dari Jumlah Rumah di Desa._x000a_Cek Kuesioner Indeks Desa, Jumlah Rumah di Desa." promptTitle="Jlh Rumah Sumber Air dr Kemasan" prompt="diisi angka" xr:uid="{00000000-0002-0000-0200-0000BF030000}">
          <x14:formula1>
            <xm:f>IF(F594="Ada",1,0)</xm:f>
          </x14:formula1>
          <x14:formula2>
            <xm:f>IF(OR(F594="",F594="Tidak ada"),0,'INPUTAN DESA ....'!$F$124)</xm:f>
          </x14:formula2>
          <xm:sqref>F595</xm:sqref>
        </x14:dataValidation>
        <x14:dataValidation type="whole" showInputMessage="1" showErrorMessage="1" error="CEK Kuesioner Indeks Desa, Jumlah Penduduk Perempuan._x000a_Total Pekerja Perempuan harus sama dengan Jumlah Penduduk Perempuan" promptTitle="Jumlah Profesi Polri Perempuan" prompt="Diisi Dengan Angka" xr:uid="{00000000-0002-0000-0200-0000C0030000}">
          <x14:formula1>
            <xm:f>0</xm:f>
          </x14:formula1>
          <x14:formula2>
            <xm:f>IF(SUM(F471,F473,F475,F477,F479,F481,F483,F485,F487,F489,F492,F494)&lt;='INPUTAN DESA ....'!$F$120,'INPUTAN DESA ....'!$F$120,0)</xm:f>
          </x14:formula2>
          <xm:sqref>F488</xm:sqref>
        </x14:dataValidation>
        <x14:dataValidation type="whole" showInputMessage="1" showErrorMessage="1" error="CEK Kuesioner Indeks Desa, Jumlah Penduduk Perempuan._x000a_Total Pekerja Perempuan harus sama dengan Jumlah Penduduk Perempuan" promptTitle="Jumlah Profesi TNI Perempuan" prompt="Diisi Dengan Angka" xr:uid="{00000000-0002-0000-0200-0000C1030000}">
          <x14:formula1>
            <xm:f>0</xm:f>
          </x14:formula1>
          <x14:formula2>
            <xm:f>IF(SUM(F471,F473,F475,F477,F479,F481,F483,F485,F487,F489,F492,F494)&lt;='INPUTAN DESA ....'!$F$120,'INPUTAN DESA ....'!$F$120,0)</xm:f>
          </x14:formula2>
          <xm:sqref>F486</xm:sqref>
        </x14:dataValidation>
        <x14:dataValidation type="whole" showInputMessage="1" showErrorMessage="1" error="CEK Kuesioner Indeks Desa, Jumlah Penduduk Perempuan._x000a_Total Pekerja Perempuan harus sama dengan Jumlah Penduduk Perempuan" promptTitle="Wiraswasta/ Pedagang Perempuan" prompt="Diisi Dengan Angka" xr:uid="{00000000-0002-0000-0200-0000C2030000}">
          <x14:formula1>
            <xm:f>0</xm:f>
          </x14:formula1>
          <x14:formula2>
            <xm:f>IF(SUM(F471,F473,F475,F477,F479,F481,F483,F485,F487,F489,F492,F494)&lt;='INPUTAN DESA ....'!$F$120,'INPUTAN DESA ....'!$F$120,0)</xm:f>
          </x14:formula2>
          <xm:sqref>F484</xm:sqref>
        </x14:dataValidation>
        <x14:dataValidation type="whole" showInputMessage="1" showErrorMessage="1" error="CEK Kuesioner Indeks Desa, Jumlah Penduduk Perempuan._x000a_Total Pekerja Perempuan harus sama dengan Jumlah Penduduk Perempuan" promptTitle="Jumlah Pekerja Swasta Perempuan" prompt="Diisi Dengan Angka" xr:uid="{00000000-0002-0000-0200-0000C3030000}">
          <x14:formula1>
            <xm:f>0</xm:f>
          </x14:formula1>
          <x14:formula2>
            <xm:f>IF(SUM(F471,F473,F475,F477,F479,F481,F483,F485,F487,F489,F492,F494)&lt;='INPUTAN DESA ....'!$F$120,'INPUTAN DESA ....'!$F$120,0)</xm:f>
          </x14:formula2>
          <xm:sqref>F482</xm:sqref>
        </x14:dataValidation>
        <x14:dataValidation type="whole" showInputMessage="1" showErrorMessage="1" error="CEK Kuesioner Indeks Desa, Jumlah Penduduk Perempuan._x000a_Total Pekerja Perempuan harus sama dengan Jumlah Penduduk Perempuan" promptTitle="Jumlah Pekerja PNS Perempuan" prompt="Diisi Dengan Angka" xr:uid="{00000000-0002-0000-0200-0000C4030000}">
          <x14:formula1>
            <xm:f>0</xm:f>
          </x14:formula1>
          <x14:formula2>
            <xm:f>IF(SUM(F471,F473,F475,F477,F479,F481,F483,F485,F487,F489,F492,F494)&lt;='INPUTAN DESA ....'!$F$120,'INPUTAN DESA ....'!$F$120,0)</xm:f>
          </x14:formula2>
          <xm:sqref>F480</xm:sqref>
        </x14:dataValidation>
        <x14:dataValidation type="whole" showInputMessage="1" showErrorMessage="1" error="CEK Kuesioner Indeks Desa, Jumlah Penduduk Perempuan._x000a_Total Pekerja Perempuan harus sama dengan Jumlah Penduduk Perempuan" promptTitle="Jlh Buruh Tani/Nelayan Perempuan" prompt="Diisi Dengan Angka" xr:uid="{00000000-0002-0000-0200-0000C5030000}">
          <x14:formula1>
            <xm:f>0</xm:f>
          </x14:formula1>
          <x14:formula2>
            <xm:f>IF(SUM(F471,F473,F475,F477,F479,F481,F483,F485,F487,F489,F492,F494)&lt;='INPUTAN DESA ....'!$F$120,'INPUTAN DESA ....'!$F$120,0)</xm:f>
          </x14:formula2>
          <xm:sqref>F476</xm:sqref>
        </x14:dataValidation>
        <x14:dataValidation type="whole" showInputMessage="1" showErrorMessage="1" error="CEK Kuesioner Indeks Desa, Jumlah Penduduk Perempuan._x000a_Total Pekerja Perempuan harus sama dengan Jumlah Penduduk Perempuan" promptTitle="Jumlah Pekerja Nelayan Perempuan" prompt="Diisi Dengan Angka" xr:uid="{00000000-0002-0000-0200-0000C6030000}">
          <x14:formula1>
            <xm:f>0</xm:f>
          </x14:formula1>
          <x14:formula2>
            <xm:f>IF(SUM(F471,F473,F475,F477,F479,F481,F483,F485,F487,F489,F492,F494)&lt;='INPUTAN DESA ....'!$F$120,'INPUTAN DESA ....'!$F$120,0)</xm:f>
          </x14:formula2>
          <xm:sqref>F474</xm:sqref>
        </x14:dataValidation>
        <x14:dataValidation type="whole" showInputMessage="1" showErrorMessage="1" error="CEK Kuesioner Indeks Desa, Jumlah Penduduk Perempuan._x000a_Total Pekerja Perempuan harus sama dengan Jumlah Penduduk Perempuan" promptTitle="Jumlah Pekerja Petani Perempuan" prompt="Diisi Dengan Angka" xr:uid="{00000000-0002-0000-0200-0000C7030000}">
          <x14:formula1>
            <xm:f>0</xm:f>
          </x14:formula1>
          <x14:formula2>
            <xm:f>IF(SUM(F471,F473,F475,F477,F479,F481,F483,F485,F487,F489,F492,F494)&lt;='INPUTAN DESA ....'!$F$120,'INPUTAN DESA ....'!$F$120,0)</xm:f>
          </x14:formula2>
          <xm:sqref>F472</xm:sqref>
        </x14:dataValidation>
        <x14:dataValidation type="whole" showInputMessage="1" showErrorMessage="1" error="CEK Kuesioner Indeks Desa, Jumlah Penduduk Perempuan._x000a_Total Pekerja Perempuan harus sama dengan Jumlah Penduduk Perempuan" promptTitle="Jumlah Profesi Bidan" prompt="Diisi Dengan Angka" xr:uid="{00000000-0002-0000-0200-0000C8030000}">
          <x14:formula1>
            <xm:f>0</xm:f>
          </x14:formula1>
          <x14:formula2>
            <xm:f>IF(SUM(F471,F473,F475,F477,F479,F481,F483,F485,F487,F489,F492,F494)&lt;='INPUTAN DESA ....'!$F$120,'INPUTAN DESA ....'!$F$120,0)</xm:f>
          </x14:formula2>
          <xm:sqref>F491</xm:sqref>
        </x14:dataValidation>
        <x14:dataValidation type="whole" showInputMessage="1" showErrorMessage="1" error="CEK Kuesioner Indeks Desa, Jumlah Penduduk Laki-laki_x000a_Total Pekerja Laki-laki harus Kurang Dari Jumlah Penduduk Laki-Laki di Desa" promptTitle="Jumlah Profesi Dokter Laki-laki" prompt="Diisi Dengan Angka" xr:uid="{00000000-0002-0000-0200-0000C9030000}">
          <x14:formula1>
            <xm:f>0</xm:f>
          </x14:formula1>
          <x14:formula2>
            <xm:f>IF(SUM(F471,F473,F475,F477,F479,F481,F483,F485,F487,F489,F492,F494)&lt;='INPUTAN DESA ....'!$F$119,'INPUTAN DESA ....'!$F$119,0)</xm:f>
          </x14:formula2>
          <xm:sqref>F489</xm:sqref>
        </x14:dataValidation>
        <x14:dataValidation type="whole" showInputMessage="1" showErrorMessage="1" error="CEK Kuesioner Indeks Desa, Jumlah Penduduk Laki-laki_x000a_Total Pekerja Laki-laki harus Kurang Dari Jumlah Penduduk Laki-Laki di Desa" promptTitle="Jumlah Profesi TNI Laki-laki" prompt="Diisi Dengan Angka" xr:uid="{00000000-0002-0000-0200-0000CA030000}">
          <x14:formula1>
            <xm:f>0</xm:f>
          </x14:formula1>
          <x14:formula2>
            <xm:f>IF(SUM(F471,F473,F475,F477,F479,F481,F483,F485,F487,F489,F492,F494)&lt;='INPUTAN DESA ....'!$F$119,'INPUTAN DESA ....'!$F$119,0)</xm:f>
          </x14:formula2>
          <xm:sqref>F485</xm:sqref>
        </x14:dataValidation>
        <x14:dataValidation type="whole" showInputMessage="1" showErrorMessage="1" error="CEK Kuesioner Indeks Desa, Jumlah Penduduk Laki-laki_x000a_Total Pekerja Laki-laki harus Kurang Dari Jumlah Penduduk Laki-Laki di Desa" promptTitle="Wiraswasta/ Pedagang Laki-laki" prompt="Diisi Dengan Angka" xr:uid="{00000000-0002-0000-0200-0000CB030000}">
          <x14:formula1>
            <xm:f>0</xm:f>
          </x14:formula1>
          <x14:formula2>
            <xm:f>IF(SUM(F471,F473,F475,F477,F479,F481,F483,F485,F487,F489,F492,F494)&lt;='INPUTAN DESA ....'!$F$119,'INPUTAN DESA ....'!$F$119,0)</xm:f>
          </x14:formula2>
          <xm:sqref>F483</xm:sqref>
        </x14:dataValidation>
        <x14:dataValidation type="whole" showInputMessage="1" showErrorMessage="1" error="CEK Kuesioner Indeks Desa, Jumlah Penduduk Laki-laki_x000a_Total Pekerja Laki-laki harus Kurang Dari Jumlah Penduduk Laki-Laki di Desa" promptTitle="Jumlah Pekerja Swasta Laki-laki" prompt="Diisi Dengan Angka" xr:uid="{00000000-0002-0000-0200-0000CC030000}">
          <x14:formula1>
            <xm:f>0</xm:f>
          </x14:formula1>
          <x14:formula2>
            <xm:f>IF(SUM(F471,F473,F475,F477,F479,F481,F483,F485,F487,F489,F492,F494)&lt;='INPUTAN DESA ....'!$F$119,'INPUTAN DESA ....'!$F$119,0)</xm:f>
          </x14:formula2>
          <xm:sqref>F481</xm:sqref>
        </x14:dataValidation>
        <x14:dataValidation type="whole" showInputMessage="1" showErrorMessage="1" error="CEK Kuesioner Indeks Desa, Jumlah Penduduk Laki-laki_x000a_Total Pekerja Laki-laki harus Kurang Dari Jumlah Penduduk Laki-Laki di Desa" promptTitle="Jumlah Buruh Pabrik Laki-laki" prompt="Diisi Dengan Angka" xr:uid="{00000000-0002-0000-0200-0000CD030000}">
          <x14:formula1>
            <xm:f>0</xm:f>
          </x14:formula1>
          <x14:formula2>
            <xm:f>IF(SUM(F471,F473,F475,F477,F479,F481,F483,F485,F487,F489,F492,F494)&lt;='INPUTAN DESA ....'!$F$119,'INPUTAN DESA ....'!$F$119,0)</xm:f>
          </x14:formula2>
          <xm:sqref>F477</xm:sqref>
        </x14:dataValidation>
        <x14:dataValidation type="whole" showInputMessage="1" showErrorMessage="1" error="CEK Kuesioner Indeks Desa, Jumlah Penduduk Laki-laki_x000a_Total Pekerja Laki-laki harus Kurang Dari Jumlah Penduduk Laki-Laki di Desa" promptTitle="Jlh Buruh Tani/Nelayan Laki-laki" prompt="Diisi Dengan Angka" xr:uid="{00000000-0002-0000-0200-0000CE030000}">
          <x14:formula1>
            <xm:f>0</xm:f>
          </x14:formula1>
          <x14:formula2>
            <xm:f>IF(SUM(F471,F473,F475,F477,F479,F481,F483,F485,F487,F489,F492,F494)&lt;='INPUTAN DESA ....'!$F$119,'INPUTAN DESA ....'!$F$119,0)</xm:f>
          </x14:formula2>
          <xm:sqref>F475</xm:sqref>
        </x14:dataValidation>
        <x14:dataValidation type="whole" showInputMessage="1" showErrorMessage="1" error="CEK Kuesioner Indeks Desa, Jumlah Penduduk Laki-laki_x000a_Total Pekerja Laki-laki harus Kurang Dari Jumlah Penduduk Laki-Laki di Desa" promptTitle="Jumlah Pekerja Nelayan Laki-laki" prompt="Diisi Dengan Angka" xr:uid="{00000000-0002-0000-0200-0000CF030000}">
          <x14:formula1>
            <xm:f>0</xm:f>
          </x14:formula1>
          <x14:formula2>
            <xm:f>IF(SUM(F471,F473,F475,F477,F479,F481,F483,F485,F487,F489,F492,F494)&lt;='INPUTAN DESA ....'!$F$119,'INPUTAN DESA ....'!$F$119,0)</xm:f>
          </x14:formula2>
          <xm:sqref>F473</xm:sqref>
        </x14:dataValidation>
        <x14:dataValidation type="whole" showInputMessage="1" showErrorMessage="1" error="CEK Kuesioner Indeks Desa, Jumlah Penduduk Laki-laki_x000a_Total Pekerja Laki-laki harus Kurang Dari Jumlah Penduduk Laki-Laki di Desa" promptTitle="Jumlah Profesi Polri Laki-laki" prompt="Diisi Dengan Angka" xr:uid="{00000000-0002-0000-0200-0000D0030000}">
          <x14:formula1>
            <xm:f>0</xm:f>
          </x14:formula1>
          <x14:formula2>
            <xm:f>IF(SUM(F471,F473,F475,F477,F479,F481,F483,F485,F487,F489,F492,F494)&lt;='INPUTAN DESA ....'!$F$119,'INPUTAN DESA ....'!$F$119,0)</xm:f>
          </x14:formula2>
          <xm:sqref>F487</xm:sqref>
        </x14:dataValidation>
        <x14:dataValidation type="whole" showInputMessage="1" showErrorMessage="1" error="CEK Kuesioner Indeks Desa, Jumlah Penduduk Laki-laki_x000a_Total Pekerja Laki-laki harus Kurang Dari Jumlah Penduduk Laki-Laki di Desa" promptTitle="Jumlah Pekerja PNS Laki-laki" prompt="Diisi Dengan Angka" xr:uid="{00000000-0002-0000-0200-0000D1030000}">
          <x14:formula1>
            <xm:f>0</xm:f>
          </x14:formula1>
          <x14:formula2>
            <xm:f>IF(SUM(F471,F473,F475,F477,F479,F481,F483,F485,F487,F489,F492,F494)&lt;='INPUTAN DESA ....'!$F$119,'INPUTAN DESA ....'!$F$119,0)</xm:f>
          </x14:formula2>
          <xm:sqref>F479</xm:sqref>
        </x14:dataValidation>
        <x14:dataValidation type="whole" showInputMessage="1" showErrorMessage="1" error="CEK Kuesioner Indeks Desa, Jumlah Penduduk Perempuan._x000a_Total Pekerja Perempuan harus sama dengan Jumlah Penduduk Perempuan" promptTitle="Jumlah Buruh Pabrik Perempuan" prompt="Diisi Dengan Angka" xr:uid="{00000000-0002-0000-0200-0000D2030000}">
          <x14:formula1>
            <xm:f>0</xm:f>
          </x14:formula1>
          <x14:formula2>
            <xm:f>IF(SUM(F471,F473,F475,F477,F479,F481,F483,F485,F487,F489,F492,F494)&lt;='INPUTAN DESA ....'!$F$120,'INPUTAN DESA ....'!$F$120,0)</xm:f>
          </x14:formula2>
          <xm:sqref>F478</xm:sqref>
        </x14:dataValidation>
        <x14:dataValidation type="whole" showInputMessage="1" showErrorMessage="1" error="CEK Kuesioner Indeks Desa, Jumlah Penduduk Laki-laki_x000a_Total Pekerja Laki-laki harus Kurang Dari Jumlah Penduduk Laki-Laki di Desa" promptTitle="Jumlah Pekerja Petani Laki-laki" prompt="Diisi Dengan Angka" xr:uid="{00000000-0002-0000-0200-0000D3030000}">
          <x14:formula1>
            <xm:f>0</xm:f>
          </x14:formula1>
          <x14:formula2>
            <xm:f>IF(SUM(F471,F473,F475,F477,F479,F481,F483,F485,F487,F489,F492,F494)&lt;='INPUTAN DESA ....'!$F$119,'INPUTAN DESA ....'!$F$119,0)</xm:f>
          </x14:formula2>
          <xm:sqref>F471</xm:sqref>
        </x14:dataValidation>
        <x14:dataValidation type="whole" showInputMessage="1" showErrorMessage="1" error="CEK Kuesioner Indeks Desa, Jumlah Penduduk Perempuan._x000a_Total Pekerja Perempuan harus sama dengan Jumlah Penduduk Perempuan" promptTitle="Jlh Profesi Perawat Perempuan" prompt="Diisi Dengan Angka" xr:uid="{00000000-0002-0000-0200-0000D4030000}">
          <x14:formula1>
            <xm:f>0</xm:f>
          </x14:formula1>
          <x14:formula2>
            <xm:f>IF(SUM(F471,F473,F475,F477,F479,F481,F483,F485,F487,F489,F492,F494)&lt;='INPUTAN DESA ....'!$F$120,'INPUTAN DESA ....'!$F$120,0)</xm:f>
          </x14:formula2>
          <xm:sqref>F493</xm:sqref>
        </x14:dataValidation>
        <x14:dataValidation type="whole" showInputMessage="1" showErrorMessage="1" error="CEK Kuesioner Indeks Desa, Jumlah Penduduk Laki-laki_x000a_Total Pekerja Laki-laki harus Kurang Dari Jumlah Penduduk Laki-Laki di Desa" promptTitle="Jlh Profesi Perawat  Laki-laki" prompt="Diisi Dengan Angka" xr:uid="{00000000-0002-0000-0200-0000D5030000}">
          <x14:formula1>
            <xm:f>0</xm:f>
          </x14:formula1>
          <x14:formula2>
            <xm:f>IF(SUM(F471,F473,F475,F477,F479,F481,F483,F485,F487,F489,F492,F494)&lt;='INPUTAN DESA ....'!$F$119,'INPUTAN DESA ....'!$F$119,0)</xm:f>
          </x14:formula2>
          <xm:sqref>F492</xm:sqref>
        </x14:dataValidation>
        <x14:dataValidation type="whole" showInputMessage="1" showErrorMessage="1" error="CEK Kuesioner Indeks Desa, Jumlah Penduduk Perempuan._x000a_Total Pekerja Perempuan harus sama dengan Jumlah Penduduk Perempuan" promptTitle="Jumlah Profesi Dokter Perempuan" prompt="Diisi Dengan Angka" xr:uid="{00000000-0002-0000-0200-0000D6030000}">
          <x14:formula1>
            <xm:f>0</xm:f>
          </x14:formula1>
          <x14:formula2>
            <xm:f>IF(SUM(F471,F473,F475,F477,F479,F481,F483,F485,F487,F489,F492,F494)&lt;='INPUTAN DESA ....'!$F$120,'INPUTAN DESA ....'!$F$120,0)</xm:f>
          </x14:formula2>
          <xm:sqref>F490</xm:sqref>
        </x14:dataValidation>
        <x14:dataValidation type="whole" showInputMessage="1" showErrorMessage="1" error="CEK Kuesioner Indeks Desa, Jumlah Penduduk Laki-laki_x000a_Total Pekerja Laki-laki harus Kurang Dari Jumlah Penduduk Laki-Laki di Desa" promptTitle="Jlh Pekerja Lainnya  Laki-laki" prompt="Diisi Dengan Angka" xr:uid="{00000000-0002-0000-0200-0000D7030000}">
          <x14:formula1>
            <xm:f>0</xm:f>
          </x14:formula1>
          <x14:formula2>
            <xm:f>IF(SUM(F471,F473,F475,F477,F479,F481,F483,F485,F487,F489,F492,F494)&lt;='INPUTAN DESA ....'!$F$119,'INPUTAN DESA ....'!$F$119,0)</xm:f>
          </x14:formula2>
          <xm:sqref>F494</xm:sqref>
        </x14:dataValidation>
        <x14:dataValidation type="whole" showInputMessage="1" showErrorMessage="1" error="CEK Kuesioner Indeks Desa, Jumlah Penduduk Perempuan._x000a_Total Pekerja Perempuan harus sama dengan Jumlah Penduduk Perempuan" promptTitle="Jlh Pekerja Lainnya Perempuan" prompt="Diisi Dengan Angka" xr:uid="{00000000-0002-0000-0200-0000D8030000}">
          <x14:formula1>
            <xm:f>0</xm:f>
          </x14:formula1>
          <x14:formula2>
            <xm:f>IF(SUM(F471,F473,F475,F477,F479,F481,F483,F485,F487,F489,F492,F494)&lt;='INPUTAN DESA ....'!$F$120,'INPUTAN DESA ....'!$F$120,0)</xm:f>
          </x14:formula2>
          <xm:sqref>F495</xm:sqref>
        </x14:dataValidation>
        <x14:dataValidation type="whole" showInputMessage="1" showErrorMessage="1" promptTitle="Jlh RT Belum Teraliri Listrik" prompt="Jlh Rumah Tangga Belum Alir Listrik (RT)_x000a_(Terisi dari Unggah Template Rumah Tanggal Belum Teraliri Listrik)" xr:uid="{00000000-0002-0000-0200-0000D9030000}">
          <x14:formula1>
            <xm:f>0</xm:f>
          </x14:formula1>
          <x14:formula2>
            <xm:f>IF(OR('INPUTAN DESA ....'!$F$556="",'INPUTAN DESA ....'!$F$556="tidak ada"),0,(10%*'INPUTAN DESA ....'!$F$124))</xm:f>
          </x14:formula2>
          <xm:sqref>F625</xm:sqref>
        </x14:dataValidation>
        <x14:dataValidation type="whole" showInputMessage="1" showErrorMessage="1" error="Cek Kuesioner Indeks Desa._x000a_keberadaan Sumber Listrik dari Tenaga Panas Bumi" promptTitle="Jlh Rmh Manfaatkn Panas Bumi" prompt="diisi angka" xr:uid="{00000000-0002-0000-0200-0000DA030000}">
          <x14:formula1>
            <xm:f>0</xm:f>
          </x14:formula1>
          <x14:formula2>
            <xm:f>IF(OR('INPUTAN DESA ....'!$F$562="",'INPUTAN DESA ....'!$F$562="tidak ada"),0,(10%*'INPUTAN DESA ....'!$F$124))</xm:f>
          </x14:formula2>
          <xm:sqref>F630</xm:sqref>
        </x14:dataValidation>
        <x14:dataValidation type="whole" showInputMessage="1" showErrorMessage="1" error="Cek Kuesioner Indeks Desa._x000a_keberadaan Sumber Listrik dari Matahari/PLTS" promptTitle="Jlh Rmh Pakai Energi Matahari" prompt="diisi angka" xr:uid="{00000000-0002-0000-0200-0000DB030000}">
          <x14:formula1>
            <xm:f>0</xm:f>
          </x14:formula1>
          <x14:formula2>
            <xm:f>IF(OR('INPUTAN DESA ....'!$F$556="",'INPUTAN DESA ....'!$F$556="tidak ada"),0,(10%*'INPUTAN DESA ....'!$F$124))</xm:f>
          </x14:formula2>
          <xm:sqref>F624</xm:sqref>
        </x14:dataValidation>
        <x14:dataValidation type="whole" showInputMessage="1" showErrorMessage="1" error="Cek Kuesioner Indeks Desa._x000a_keberadaan Sumber Listrik dari Arus Laut" promptTitle="Jlh Rumah Manfaatkn Arus Laut" prompt="diisi angka" xr:uid="{00000000-0002-0000-0200-0000DC030000}">
          <x14:formula1>
            <xm:f>0</xm:f>
          </x14:formula1>
          <x14:formula2>
            <xm:f>IF(OR('INPUTAN DESA ....'!$F$564="",'INPUTAN DESA ....'!$F$564="tidak ada"),0,(10%*'INPUTAN DESA ....'!$F$124))</xm:f>
          </x14:formula2>
          <xm:sqref>F632</xm:sqref>
        </x14:dataValidation>
        <x14:dataValidation type="whole" showInputMessage="1" showErrorMessage="1" error="Cek Kuesioner Indeks Desa._x000a_keberadaan Sumber Listrik dari Pasang Surut" promptTitle="Jlh Rmh Manfaatkn Panas Bumi" prompt="diisi angka" xr:uid="{00000000-0002-0000-0200-0000DD030000}">
          <x14:formula1>
            <xm:f>0</xm:f>
          </x14:formula1>
          <x14:formula2>
            <xm:f>IF(OR('INPUTAN DESA ....'!$F$563="",'INPUTAN DESA ....'!$F$563="tidak ada"),0,(10%*'INPUTAN DESA ....'!$F$124))</xm:f>
          </x14:formula2>
          <xm:sqref>F631</xm:sqref>
        </x14:dataValidation>
        <x14:dataValidation type="whole" showInputMessage="1" showErrorMessage="1" error="Cek Kuesioner Indeks Desa._x000a_keberadaan Sumber Listrik dari Microhydro" promptTitle="Jlh Rmh Manfaatkn E-Microhydro" prompt="diisi angka" xr:uid="{00000000-0002-0000-0200-0000DE030000}">
          <x14:formula1>
            <xm:f>0</xm:f>
          </x14:formula1>
          <x14:formula2>
            <xm:f>IF(OR('INPUTAN DESA ....'!$F$561="",'INPUTAN DESA ....'!$F$561="tidak ada"),0,(10%*'INPUTAN DESA ....'!$F$124))</xm:f>
          </x14:formula2>
          <xm:sqref>F629</xm:sqref>
        </x14:dataValidation>
        <x14:dataValidation type="whole" showInputMessage="1" showErrorMessage="1" error="Cek Kuesioner Indeks Desa._x000a_keberadaan Sumber Listrik dari Biomassa" promptTitle="Jlh Rmh Manfaatkn Energi Gas" prompt="diisi angka" xr:uid="{00000000-0002-0000-0200-0000DF030000}">
          <x14:formula1>
            <xm:f>0</xm:f>
          </x14:formula1>
          <x14:formula2>
            <xm:f>IF(OR('INPUTAN DESA ....'!$F$559="",'INPUTAN DESA ....'!$F$559="tidak ada"),0,(10%*'INPUTAN DESA ....'!$F$124))</xm:f>
          </x14:formula2>
          <xm:sqref>F627</xm:sqref>
        </x14:dataValidation>
        <x14:dataValidation type="whole" showInputMessage="1" showErrorMessage="1" error="Cek Kuesioner Indeks Desa._x000a_keberadaan Sumber Listrik dari Biodesel" promptTitle="Jlh Rmh Manfaat Energi Biodiesel" prompt="diisi angka" xr:uid="{00000000-0002-0000-0200-0000E0030000}">
          <x14:formula1>
            <xm:f>0</xm:f>
          </x14:formula1>
          <x14:formula2>
            <xm:f>IF(OR('INPUTAN DESA ....'!$F$558="",'INPUTAN DESA ....'!$F$558="tidak ada"),0,(10%*'INPUTAN DESA ....'!$F$124))</xm:f>
          </x14:formula2>
          <xm:sqref>F626</xm:sqref>
        </x14:dataValidation>
        <x14:dataValidation type="whole" showInputMessage="1" showErrorMessage="1" error="Cek Kuesioner Indeks Desa._x000a_keberadaan Sumber Listrik dari Hayati/Nabati/Organik Cair" promptTitle="Jlh Rmh Manfaatkn E-Hayati Cair" prompt="diisi angka" xr:uid="{00000000-0002-0000-0200-0000E1030000}">
          <x14:formula1>
            <xm:f>0</xm:f>
          </x14:formula1>
          <x14:formula2>
            <xm:f>IF(OR('INPUTAN DESA ....'!$F$560="",'INPUTAN DESA ....'!$F$560="tidak ada"),0,(10%*'INPUTAN DESA ....'!$F$124))</xm:f>
          </x14:formula2>
          <xm:sqref>F628</xm:sqref>
        </x14:dataValidation>
        <x14:dataValidation type="whole" showInputMessage="1" showErrorMessage="1" promptTitle="Jlh Rmh Sumber Air dr Air Hujan" prompt="diisi angka" xr:uid="{00000000-0002-0000-0200-0000E2030000}">
          <x14:formula1>
            <xm:f>0</xm:f>
          </x14:formula1>
          <x14:formula2>
            <xm:f>IF(OR('INPUTAN DESA ....'!$F$312="",'INPUTAN DESA ....'!$F$312="Tidak ada"),0,'INPUTAN DESA ....'!$F$124)</xm:f>
          </x14:formula2>
          <xm:sqref>F604</xm:sqref>
        </x14:dataValidation>
        <x14:dataValidation type="whole" showInputMessage="1" showErrorMessage="1" error="Cek Kuesioner Indeks Desa._x000a_Keberadaan Sumber Mata Air dan Tidak Lebih dari Jumlah Rumah di Desa" promptTitle="Jlh Rumah Sumber Air mata Air" prompt="diisi angka" xr:uid="{00000000-0002-0000-0200-0000E3030000}">
          <x14:formula1>
            <xm:f>0</xm:f>
          </x14:formula1>
          <x14:formula2>
            <xm:f>IF(OR('INPUTAN DESA ....'!$F$311="",'INPUTAN DESA ....'!$F$311="Tidak ada"),0,'INPUTAN DESA ....'!$F$124)</xm:f>
          </x14:formula2>
          <xm:sqref>F601</xm:sqref>
        </x14:dataValidation>
        <x14:dataValidation type="whole" showInputMessage="1" showErrorMessage="1" error="Cek Kuesioner Indeks Desa._x000a_Keberadaan Sumber Air PAM dan Tidak Lebih dari Jumlah Rumah di Desa" promptTitle="Jlh Rmh Sumber Air Ledeng Metera" prompt="diisi angka" xr:uid="{00000000-0002-0000-0200-0000E4030000}">
          <x14:formula1>
            <xm:f>0</xm:f>
          </x14:formula1>
          <x14:formula2>
            <xm:f>IF(OR('INPUTAN DESA ....'!$F$308="",'INPUTAN DESA ....'!$F$308="Tidak ada"),0,'INPUTAN DESA ....'!$F$124)</xm:f>
          </x14:formula2>
          <xm:sqref>F596</xm:sqref>
        </x14:dataValidation>
        <x14:dataValidation type="whole" showInputMessage="1" showErrorMessage="1" error="Tidak Tersedia Layanan Nakes Lainnya_x000a_Cek Kuesioner Indeks Desa" promptTitle="Jumlah Tenaga Nakes Lainnya" prompt="Input Menggunakan Angka" xr:uid="{00000000-0002-0000-0200-0000E5030000}">
          <x14:formula1>
            <xm:f>0</xm:f>
          </x14:formula1>
          <x14:formula2>
            <xm:f>IF(OR('INPUTAN DESA ....'!$F$290="",'INPUTAN DESA ....'!$F$290=1),0,30)</xm:f>
          </x14:formula2>
          <xm:sqref>F579</xm:sqref>
        </x14:dataValidation>
        <x14:dataValidation type="list" showInputMessage="1" showErrorMessage="1" error="Tidak Terdapat Bidan di Desa_x000a_Cek Kuesioner Indeks Desa" promptTitle="Bidan Ikut kegiatan Perencanaan" prompt="Tidak Aktif_x000a_Kadang-kadang_x000a_Aktif" xr:uid="{00000000-0002-0000-0200-0000E6030000}">
          <x14:formula1>
            <xm:f>IF(OR('INPUTAN DESA ....'!$F$273=1,'INPUTAN DESA ....'!$F$273=""),tidakaktif,bidan)</xm:f>
          </x14:formula1>
          <xm:sqref>F578</xm:sqref>
        </x14:dataValidation>
        <x14:dataValidation type="whole" showInputMessage="1" showErrorMessage="1" error="Tidak Tersedia Layanan Bidan Desa_x000a_Cek Kuesioner Indeks Desa" promptTitle="Jumlah Bidan Desa (BDD)" prompt="Input Menggunakan Angka" xr:uid="{00000000-0002-0000-0200-0000E7030000}">
          <x14:formula1>
            <xm:f>0</xm:f>
          </x14:formula1>
          <x14:formula2>
            <xm:f>IF(OR('INPUTAN DESA ....'!$F$273="",'INPUTAN DESA ....'!$F$273=1),0,10)</xm:f>
          </x14:formula2>
          <xm:sqref>F577</xm:sqref>
        </x14:dataValidation>
        <x14:dataValidation type="whole" showInputMessage="1" showErrorMessage="1" error="Tidak Tersedia Layanan Dokter_x000a_Cek Kuesioner Indeks Desa" promptTitle="Jumlah Dokter Praktek di Desa" prompt="Input Menggunakan Angka" xr:uid="{00000000-0002-0000-0200-0000E8030000}">
          <x14:formula1>
            <xm:f>0</xm:f>
          </x14:formula1>
          <x14:formula2>
            <xm:f>IF(OR('INPUTAN DESA ....'!$F$255="",'INPUTAN DESA ....'!$F$255=1),0,10)</xm:f>
          </x14:formula2>
          <xm:sqref>F576</xm:sqref>
        </x14:dataValidation>
        <x14:dataValidation type="list" showInputMessage="1" showErrorMessage="1" error="Cek Kuesioner Indeks Desa Aktivitas Posyandu" promptTitle="Pembiayaan Posyandu" prompt="Tidak Ada_x000a_Iuran Bulanan Masyarakat_x000a_APBDes_x000a_Iuran Bulanan Masyarakat dan APBDes_x000a_Lainnya" xr:uid="{00000000-0002-0000-0200-0000E9030000}">
          <x14:formula1>
            <xm:f>IF(OR('INPUTAN DESA ....'!$F$241="",'INPUTAN DESA ....'!$F$241=1),tidakada,danaposyandu)</xm:f>
          </x14:formula1>
          <xm:sqref>F535</xm:sqref>
        </x14:dataValidation>
        <x14:dataValidation type="list" showInputMessage="1" showErrorMessage="1" error="Cek Kuesioner Indeks Desa Aktivitas Posyandu" promptTitle="Partisipasi Warga di Posyandu" prompt="Aktif_x000a_Tidak Aktif" xr:uid="{00000000-0002-0000-0200-0000EA030000}">
          <x14:formula1>
            <xm:f>IF(OR('INPUTAN DESA ....'!$F$241="",'INPUTAN DESA ....'!$F$241=1),tidakaktif,aktiftidak)</xm:f>
          </x14:formula1>
          <xm:sqref>F534</xm:sqref>
        </x14:dataValidation>
        <x14:dataValidation type="whole" showInputMessage="1" showErrorMessage="1" error="Cek Kuesioner Indeks Desa Posyandu" promptTitle="Jumlah Posyandu tersedia di Desa" prompt="Input Menggunakan Angka" xr:uid="{00000000-0002-0000-0200-0000EB030000}">
          <x14:formula1>
            <xm:f>0</xm:f>
          </x14:formula1>
          <x14:formula2>
            <xm:f>IF(OR('INPUTAN DESA ....'!$F$240=1,'INPUTAN DESA ....'!$F$240=""),0,25)</xm:f>
          </x14:formula2>
          <xm:sqref>F531</xm:sqref>
        </x14:dataValidation>
        <x14:dataValidation type="list" showInputMessage="1" showErrorMessage="1" error="Cek Kuesioner Indeks Desa Pustu/ Poskesdes/ Polindes" promptTitle="Fungsi Poskesdes/Polindes" prompt="Tidak Berfungsi/ Tidak Aktif_x000a_Berfungsi/ Aktif" xr:uid="{00000000-0002-0000-0200-0000EC030000}">
          <x14:formula1>
            <xm:f>IF(OR('INPUTAN DESA ....'!$F$233="",'INPUTAN DESA ....'!$F$233=0),tidakada,pustu)</xm:f>
          </x14:formula1>
          <xm:sqref>F529</xm:sqref>
        </x14:dataValidation>
        <x14:dataValidation type="list" showInputMessage="1" showErrorMessage="1" promptTitle="Pembelajaran berbasis Internet" prompt="Ada_x000a_Tidak Ada" xr:uid="{00000000-0002-0000-0200-0000ED030000}">
          <x14:formula1>
            <xm:f>IF(OR('INPUTAN DESA ....'!$F$203="",'INPUTAN DESA ....'!$F$203=0),tidakada,adatidak)</xm:f>
          </x14:formula1>
          <xm:sqref>F510</xm:sqref>
        </x14:dataValidation>
        <x14:dataValidation type="list" showInputMessage="1" showErrorMessage="1" promptTitle="Pembelajaran berbasis Internet" prompt="Ada_x000a_Tidak Ada" xr:uid="{00000000-0002-0000-0200-0000EE030000}">
          <x14:formula1>
            <xm:f>IF(OR('INPUTAN DESA ....'!$F$192="",'INPUTAN DESA ....'!$F$192=0),tidakada,adatidak)</xm:f>
          </x14:formula1>
          <xm:sqref>F507</xm:sqref>
        </x14:dataValidation>
        <x14:dataValidation type="list" showInputMessage="1" showErrorMessage="1" error="Sesuai Keberadaan Sekolah di Desa._x000a_Cek Kuesioner Indeks Desa" promptTitle="SD didesa terdapat Internet/wifi" prompt="Ada_x000a_Tidak Ada" xr:uid="{00000000-0002-0000-0200-0000EF030000}">
          <x14:formula1>
            <xm:f>IF(OR('INPUTAN DESA ....'!$F$181="",'INPUTAN DESA ....'!$F$181=0),tidakada,adatidak)</xm:f>
          </x14:formula1>
          <xm:sqref>F502</xm:sqref>
        </x14:dataValidation>
        <x14:dataValidation type="whole" showInputMessage="1" showErrorMessage="1" error="Tidak lebih dari jumlah anak usia SD dikurang anak sekolah SD di desa._x000a_Cek Kuesioner Indeks Desa, Jumlah Penduduk berdasarkan Usia dan Jumlah Anak bersekolah SD di Desa" promptTitle="Jlh Anak Usia SD Putus Sekolah" prompt="diisi angka" xr:uid="{00000000-0002-0000-0200-0000F0030000}">
          <x14:formula1>
            <xm:f>0</xm:f>
          </x14:formula1>
          <x14:formula2>
            <xm:f>IF('INPUTAN DESA ....'!$F$128="",0,'INPUTAN DESA ....'!$F$128-'INPUTAN DESA ....'!F189)</xm:f>
          </x14:formula2>
          <xm:sqref>F500</xm:sqref>
        </x14:dataValidation>
        <x14:dataValidation type="whole" showInputMessage="1" showErrorMessage="1" error="Tidak lebih dari jumlah anak usia SMP dikurang anak sekolah SMP di desa._x000a_Cek Kuesioner Indeks Desa, Jumlah Penduduk berdasarkan Usia dan Jumlah Anak bersekolah SMP di Desa" promptTitle="Jlh Anak Usia SMP Putus Sekolah" prompt="diisi angka" xr:uid="{00000000-0002-0000-0200-0000F1030000}">
          <x14:formula1>
            <xm:f>0</xm:f>
          </x14:formula1>
          <x14:formula2>
            <xm:f>IF('INPUTAN DESA ....'!$F$129="",0,'INPUTAN DESA ....'!$F$129-'INPUTAN DESA ....'!F200)</xm:f>
          </x14:formula2>
          <xm:sqref>F504</xm:sqref>
        </x14:dataValidation>
        <x14:dataValidation type="whole" showInputMessage="1" showErrorMessage="1" promptTitle="Jlh Rmh Sumber Air dari Lainnya" prompt="diisi angka" xr:uid="{00000000-0002-0000-0200-0000F2030000}">
          <x14:formula1>
            <xm:f>IF(F605="Ada",1,0)</xm:f>
          </x14:formula1>
          <x14:formula2>
            <xm:f>IF(OR(F605="",F605="Tidak ada"),0,'INPUTAN DESA ....'!$F$124)</xm:f>
          </x14:formula2>
          <xm:sqref>F607</xm:sqref>
        </x14:dataValidation>
        <x14:dataValidation type="whole" showInputMessage="1" showErrorMessage="1" error="Tidak Lebih dari Jumlah Rumah di Desa" promptTitle="Jlh Rumah Sumber Air Danau/Kolam" prompt="diisi angka" xr:uid="{00000000-0002-0000-0200-0000F3030000}">
          <x14:formula1>
            <xm:f>0</xm:f>
          </x14:formula1>
          <x14:formula2>
            <xm:f>IF(OR(F602="",F602="Tidak ada"),0,'INPUTAN DESA ....'!$F$124)</xm:f>
          </x14:formula2>
          <xm:sqref>F603</xm:sqref>
        </x14:dataValidation>
        <x14:dataValidation type="whole" showInputMessage="1" showErrorMessage="1" promptTitle="Jlh Rmh Manfaatkn Energi Diesel" prompt="diisi angka" xr:uid="{00000000-0002-0000-0200-0000F4030000}">
          <x14:formula1>
            <xm:f>0</xm:f>
          </x14:formula1>
          <x14:formula2>
            <xm:f>IF(OR(F622="",F622="tidak ada"),0,'INPUTAN DESA ....'!$F$124)</xm:f>
          </x14:formula2>
          <xm:sqref>F623</xm:sqref>
        </x14:dataValidation>
        <x14:dataValidation type="list" operator="lessThanOrEqual" showInputMessage="1" showErrorMessage="1" error="Desa Bukan Daerah Pesisir dan Tidak Berbatasan Langsung dengan Laut (Tepi Laut)._x000a_Cek Kuesioner Indeks Desa Wilayah Topografi Desa" promptTitle="Desa Penghasil Garam Laut" prompt="Ada_x000a_Tidak Ada" xr:uid="{00000000-0002-0000-0200-0000F5030000}">
          <x14:formula1>
            <xm:f>IF(OR($F$459="iya",'INPUTAN DESA ....'!$F$115="Pesisir"),adatidak,tidakada)</xm:f>
          </x14:formula1>
          <xm:sqref>F461</xm:sqref>
        </x14:dataValidation>
        <x14:dataValidation type="list" showInputMessage="1" showErrorMessage="1" promptTitle="Terdapat Hutan Mangrove" prompt="Ada_x000a_Tidak Ada" xr:uid="{00000000-0002-0000-0200-0000F6030000}">
          <x14:formula1>
            <xm:f>IF(OR('INPUTAN DESA ....'!$F$115="Pesisir",'INPUTAN DESA ....'!$F$115="Kepulauan"),adatidak,tidakada)</xm:f>
          </x14:formula1>
          <xm:sqref>F468</xm:sqref>
        </x14:dataValidation>
        <x14:dataValidation type="list" showInputMessage="1" showErrorMessage="1" error="Musdes tidak dihadiri unsur Inklusivitas_x000a_Cek Kuesioner Indeks Desa, Inklusivitas Musyawarah Desa" promptTitle="Kelompok Disabilitas Ikut Musdes" prompt="Ada_x000a_Tidak Ada" xr:uid="{00000000-0002-0000-0200-0000F7030000}">
          <x14:formula1>
            <xm:f>IF(OR('INPUTAN DESA ....'!$F$109="",'INPUTAN DESA ....'!$F$109=1),tidakada,adatidak)</xm:f>
          </x14:formula1>
          <xm:sqref>F83</xm:sqref>
        </x14:dataValidation>
        <x14:dataValidation type="list" showInputMessage="1" showErrorMessage="1" error="Musdes tidak dihadiri unsur Inklusivitas_x000a_Cek Kuesioner Indeks Desa, Inklusivitas Musyawarah Desa" promptTitle="Kelompok Perempuan Ikut Musdes" prompt="Ada_x000a_Tidak Ada" xr:uid="{00000000-0002-0000-0200-0000F8030000}">
          <x14:formula1>
            <xm:f>IF(OR('INPUTAN DESA ....'!$F$109="",'INPUTAN DESA ....'!$F$109=1),tidakada,adatidak)</xm:f>
          </x14:formula1>
          <xm:sqref>F82</xm:sqref>
        </x14:dataValidation>
        <x14:dataValidation type="list" showInputMessage="1" showErrorMessage="1" error="Musdes tidak dihadiri unsur Inklusivitas_x000a_Cek Kuesioner Indeks Desa, Inklusivitas Musyawarah Desa" promptTitle="Kelompok Perajin Ikut Musdes" prompt="Ada_x000a_Tidak Ada" xr:uid="{00000000-0002-0000-0200-0000F9030000}">
          <x14:formula1>
            <xm:f>IF(OR('INPUTAN DESA ....'!$F$109="",'INPUTAN DESA ....'!$F$109=1),tidakada,adatidak)</xm:f>
          </x14:formula1>
          <xm:sqref>F81</xm:sqref>
        </x14:dataValidation>
        <x14:dataValidation type="list" showInputMessage="1" showErrorMessage="1" error="Musdes tidak dihadiri unsur Inklusivitas_x000a_Cek Kuesioner Indeks Desa, Inklusivitas Musyawarah Desa" promptTitle="Kelompok Nelayan Ikut Musdes" prompt="Ada_x000a_Tidak Ada" xr:uid="{00000000-0002-0000-0200-0000FA030000}">
          <x14:formula1>
            <xm:f>IF(OR('INPUTAN DESA ....'!$F$109="",'INPUTAN DESA ....'!$F$109=1),tidakada,adatidak)</xm:f>
          </x14:formula1>
          <xm:sqref>F80</xm:sqref>
        </x14:dataValidation>
        <x14:dataValidation type="list" showInputMessage="1" showErrorMessage="1" error="Musdes tidak dihadiri unsur Inklusivitas_x000a_Cek Kuesioner Indeks Desa, Inklusivitas Musyawarah Desa" promptTitle="Unsur Kelompok Tani Ikut Musdes" prompt="Ada_x000a_Tidak Ada" xr:uid="{00000000-0002-0000-0200-0000FB030000}">
          <x14:formula1>
            <xm:f>IF(OR('INPUTAN DESA ....'!$F$109="",'INPUTAN DESA ....'!$F$109=1),tidakada,adatidak)</xm:f>
          </x14:formula1>
          <xm:sqref>F79</xm:sqref>
        </x14:dataValidation>
        <x14:dataValidation type="list" showInputMessage="1" showErrorMessage="1" error="Musdes tidak dihadiri unsur Inklusivitas_x000a_Cek Kuesioner Indeks Desa, Inklusivitas Musyawarah Desa" promptTitle="Tokoh Pendidikan Ikut Musdes" prompt="Ada_x000a_Tidak Ada" xr:uid="{00000000-0002-0000-0200-0000FC030000}">
          <x14:formula1>
            <xm:f>IF(OR('INPUTAN DESA ....'!$F$109="",'INPUTAN DESA ....'!$F$109=1),tidakada,adatidak)</xm:f>
          </x14:formula1>
          <xm:sqref>F78</xm:sqref>
        </x14:dataValidation>
        <x14:dataValidation type="list" showInputMessage="1" showErrorMessage="1" error="Musdes tidak dihadiri unsur Inklusivitas_x000a_Cek Kuesioner Indeks Desa, Inklusivitas Musyawarah Desa" promptTitle="Tokoh Masyarakat Ikut Musdes" prompt="Ada_x000a_Tidak Ada" xr:uid="{00000000-0002-0000-0200-0000FD030000}">
          <x14:formula1>
            <xm:f>IF(OR('INPUTAN DESA ....'!$F$109="",'INPUTAN DESA ....'!$F$109=1),tidakada,adatidak)</xm:f>
          </x14:formula1>
          <xm:sqref>F77</xm:sqref>
        </x14:dataValidation>
        <x14:dataValidation type="list" showInputMessage="1" showErrorMessage="1" error="Musdes tidak dihadiri unsur Inklusivitas_x000a_Cek Kuesioner Indeks Desa, Inklusivitas Musyawarah Desa" promptTitle="Unsur Tokoh Agama Ikut Musdes" prompt="Ada_x000a_Tidak Ada" xr:uid="{00000000-0002-0000-0200-0000FE030000}">
          <x14:formula1>
            <xm:f>IF(OR('INPUTAN DESA ....'!$F$109="",'INPUTAN DESA ....'!$F$109=1),tidakada,adatidak)</xm:f>
          </x14:formula1>
          <xm:sqref>F76</xm:sqref>
        </x14:dataValidation>
        <x14:dataValidation type="list" showInputMessage="1" showErrorMessage="1" error="Musdes tidak dihadiri unsur Inklusivitas_x000a_Cek Kuesioner Indeks Desa, Inklusivitas Musyawarah Desa" promptTitle="Unsur Tokoh Adat Ikut Musdes" prompt="Ada_x000a_Tidak Ada" xr:uid="{00000000-0002-0000-0200-0000FF030000}">
          <x14:formula1>
            <xm:f>IF(OR('INPUTAN DESA ....'!$F$109="",'INPUTAN DESA ....'!$F$109=1),tidakada,adatidak)</xm:f>
          </x14:formula1>
          <xm:sqref>F75</xm:sqref>
        </x14:dataValidation>
        <x14:dataValidation type="list" showInputMessage="1" showErrorMessage="1" error="Musdes tidak dihadiri unsur Inklusivitas_x000a_Cek Kuesioner Indeks Desa, Inklusivitas Musyawarah Desa" promptTitle="Kelompok Lanjut Usia Ikut Musdes" prompt="Ada_x000a_Tidak Ada" xr:uid="{00000000-0002-0000-0200-000000040000}">
          <x14:formula1>
            <xm:f>IF(OR('INPUTAN DESA ....'!$F$109="",'INPUTAN DESA ....'!$F$109=1),tidakada,adatidak)</xm:f>
          </x14:formula1>
          <xm:sqref>F84</xm:sqref>
        </x14:dataValidation>
        <x14:dataValidation type="list" showInputMessage="1" showErrorMessage="1" error="Musdes tidak dihadiri unsur Inklusivitas_x000a_Cek Kuesioner Indeks Desa, Inklusivitas Musyawarah Desa" promptTitle="Kelompok Masy Miskin Ikut Musdes" prompt="Ada_x000a_Tidak Ada" xr:uid="{00000000-0002-0000-0200-000001040000}">
          <x14:formula1>
            <xm:f>IF(OR('INPUTAN DESA ....'!$F$109="",'INPUTAN DESA ....'!$F$109=1),tidakada,adatidak)</xm:f>
          </x14:formula1>
          <xm:sqref>F85</xm:sqref>
        </x14:dataValidation>
        <x14:dataValidation type="list" showInputMessage="1" showErrorMessage="1" error="CEK Identitas Petugas._x000a_Kuesioner Indeks Desa" promptTitle="Tersedia PLD" prompt="Ada_x000a_Tidak Ada" xr:uid="{00000000-0002-0000-0200-000002040000}">
          <x14:formula1>
            <xm:f>IF(OR('INPUTAN DESA ....'!$F$10="",'INPUTAN DESA ....'!$F$10&lt;&gt;"pendamping lokal desa"),adatidak,ada)</xm:f>
          </x14:formula1>
          <xm:sqref>F89</xm:sqref>
        </x14:dataValidation>
        <x14:dataValidation type="whole" showInputMessage="1" showErrorMessage="1" error="Tidak lebih dari Jumlah Penduduk._x000a_Jika tidak ada diisi NOL &quot;0&quot;" promptTitle="Jumlah PMI Punya Usaha Hasil LN" prompt="Diisi Angka" xr:uid="{00000000-0002-0000-0200-000003040000}">
          <x14:formula1>
            <xm:f>0</xm:f>
          </x14:formula1>
          <x14:formula2>
            <xm:f>'INPUTAN DESA ....'!F118</xm:f>
          </x14:formula2>
          <xm:sqref>F1494</xm:sqref>
        </x14:dataValidation>
        <x14:dataValidation type="whole" showInputMessage="1" showErrorMessage="1" errorTitle="PERHATIKAN JUMLAH PENDUDUK" error="CEK JUMLAH PENDUDUK DI DESA._x000a_Tidak Terdapat Tambang Tanah Uruk._x000a_Total Seluruh Pekerja Tambang Gol A, B, dan C, Tidak Lebih dari Jumlah Penduduk di Desa. (Hanya diInput Angka)" promptTitle="Jlh Naker Lokal Tambang T. Uruk" prompt=" (Diisi Angka)" xr:uid="{00000000-0002-0000-0200-000004040000}">
          <x14:formula1>
            <xm:f>0</xm:f>
          </x14:formula1>
          <x14:formula2>
            <xm:f>IF(AND(F404="ada",SUM(F347,F350,F353,F356,F359,F363,F367,F370,F373,F376,F379,F383,F387,F390,F393,F396,F399,F402,F405,F409)&lt;='INPUTAN DESA ....'!F118),'INPUTAN DESA ....'!F118,0)</xm:f>
          </x14:formula2>
          <xm:sqref>F405</xm:sqref>
        </x14:dataValidation>
        <x14:dataValidation type="whole" showInputMessage="1" showErrorMessage="1" errorTitle="PERHATIKAN JUMLAH PENDUDUK" error="CEK JUMLAH PENDUDUK DI DESA._x000a_Tidak Terdapat Tambang Batu Kali._x000a_Total Seluruh Pekerja Tambang Gol A, B, dan C, Tidak Lebih dari Jumlah Penduduk di Desa. (Hanya diInput Angka)" promptTitle="Jlh Naker Lokal Tambang Bt Kali" prompt=" (Diisi Angka)" xr:uid="{00000000-0002-0000-0200-000005040000}">
          <x14:formula1>
            <xm:f>0</xm:f>
          </x14:formula1>
          <x14:formula2>
            <xm:f>IF(AND(F401="ada",SUM(F347,F350,F353,F356,F359,F363,F367,F370,F373,F376,F379,F383,F387,F390,F393,F396,F399,F402,F405,F409)&lt;='INPUTAN DESA ....'!F118),'INPUTAN DESA ....'!F118,0)</xm:f>
          </x14:formula2>
          <xm:sqref>F402</xm:sqref>
        </x14:dataValidation>
        <x14:dataValidation type="whole" showInputMessage="1" showErrorMessage="1" errorTitle="PERHATIKAN JUMLAH PENDUDUK" error="CEK JUMLAH PENDUDUK DI DESA._x000a_Tidak Terdapat Tambang Batu Krikil._x000a_Total Seluruh Pekerja Tambang Gol A, B, dan C, Tidak Lebih dari Jumlah Penduduk di Desa. (Hanya diInput Angka)" promptTitle="Jlh Naker Lokal Tambang Kerikil" prompt=" (Diisi Angka)" xr:uid="{00000000-0002-0000-0200-000006040000}">
          <x14:formula1>
            <xm:f>0</xm:f>
          </x14:formula1>
          <x14:formula2>
            <xm:f>IF(AND(F398="ada",SUM(F347,F350,F353,F356,F359,F363,F367,F370,F373,F376,F379,F383,F387,F390,F393,F396,F399,F402,F405,F409)&lt;='INPUTAN DESA ....'!F118),'INPUTAN DESA ....'!F118,0)</xm:f>
          </x14:formula2>
          <xm:sqref>F399</xm:sqref>
        </x14:dataValidation>
        <x14:dataValidation type="whole" showInputMessage="1" showErrorMessage="1" errorTitle="PERHATIKAN JUMLAH PENDUDUK" error="CEK JUMLAH PENDUDUK DI DESA._x000a_Tidak Terdapat Tambang Pasir Batu._x000a_Total Seluruh Pekerja Tambang Gol A, B, dan C, Tidak Lebih dari Jumlah Penduduk di Desa. (Hanya diInput Angka)" promptTitle="Jlh Naker Lokal Tambang Psr Batu" prompt=" (Diisi Angka)" xr:uid="{00000000-0002-0000-0200-000007040000}">
          <x14:formula1>
            <xm:f>0</xm:f>
          </x14:formula1>
          <x14:formula2>
            <xm:f>IF(AND(F395="ada",SUM(F347,F350,F353,F356,F359,F363,F367,F370,F373,F376,F379,F383,F387,F390,F393,F396,F399,F402,F405,F409)&lt;='INPUTAN DESA ....'!F118),'INPUTAN DESA ....'!F118,0)</xm:f>
          </x14:formula2>
          <xm:sqref>F396</xm:sqref>
        </x14:dataValidation>
        <x14:dataValidation type="whole" showInputMessage="1" showErrorMessage="1" errorTitle="PERHATIKAN JUMLAH PENDUDUK" error="CEK JUMLAH PENDUDUK DI DESA._x000a_Tidak Terdapat Tambang Pasir._x000a_Total Seluruh Pekerja Tambang Gol A, B, dan C, Tidak Lebih dari Jumlah Penduduk di Desa. (Hanya diInput Angka)" promptTitle="Jlh Naker Lokal Tambang Pasir" prompt=" (Diisi Angka)" xr:uid="{00000000-0002-0000-0200-000008040000}">
          <x14:formula1>
            <xm:f>0</xm:f>
          </x14:formula1>
          <x14:formula2>
            <xm:f>IF(AND(F392="ada",SUM(F347,F350,F353,F356,F359,F363,F367,F370,F373,F376,F379,F383,F387,F390,F393,F396,F399,F402,F405,F409)&lt;='INPUTAN DESA ....'!F118),'INPUTAN DESA ....'!F118,0)</xm:f>
          </x14:formula2>
          <xm:sqref>F393</xm:sqref>
        </x14:dataValidation>
        <x14:dataValidation type="whole" showInputMessage="1" showErrorMessage="1" errorTitle="PERHATIKAN JUMLAH PENDUDUK" error="CEK JUMLAH PENDUDUK DI DESA._x000a_Tidak Terdapat Tambang Tanah Liat._x000a_Total Seluruh Pekerja Tambang Gol A, B, dan C, Tidak Lebih dari Jumlah Penduduk di Desa. (Hanya diInput Angka)" promptTitle="Jlh Naker Lokal Tambang T.Liat" prompt=" (Diisi Angka)" xr:uid="{00000000-0002-0000-0200-000009040000}">
          <x14:formula1>
            <xm:f>0</xm:f>
          </x14:formula1>
          <x14:formula2>
            <xm:f>IF(AND(F389="ada",SUM(F347,F350,F353,F356,F359,F363,F367,F370,F373,F376,F379,F383,F387,F390,F393,F396,F399,F402,F405,F409)&lt;='INPUTAN DESA ....'!F118),'INPUTAN DESA ....'!F118,0)</xm:f>
          </x14:formula2>
          <xm:sqref>F390</xm:sqref>
        </x14:dataValidation>
        <x14:dataValidation type="whole" showInputMessage="1" showErrorMessage="1" errorTitle="PERHATIKAN JUMLAH PENDUDUK" error="CEK JUMLAH PENDUDUK DI DESA._x000a_Tidak Terdapat Tambang Batu Kapur._x000a_Total Seluruh Pekerja Tambang Gol A, B, dan C, Tidak Lebih dari Jumlah Penduduk di Desa. (Hanya diInput Angka)" promptTitle="Jlh Naker Lokal Tambang Batu Kap" prompt=" (Diisi Angka)" xr:uid="{00000000-0002-0000-0200-00000A040000}">
          <x14:formula1>
            <xm:f>0</xm:f>
          </x14:formula1>
          <x14:formula2>
            <xm:f>IF(AND(F386="ada",SUM(F347,F350,F353,F356,F359,F363,F367,F370,F373,F376,F379,F383,F387,F390,F393,F396,F399,F402,F405,F409)&lt;='INPUTAN DESA ....'!F118),'INPUTAN DESA ....'!F118,0)</xm:f>
          </x14:formula2>
          <xm:sqref>F387</xm:sqref>
        </x14:dataValidation>
        <x14:dataValidation type="whole" showInputMessage="1" showErrorMessage="1" errorTitle="PERHATIKAN JUMLAH PENDUDUK" error="CEK JUMLAH PENDUDUK DI DESA, Tidak dapat Melebihi Jumlah Penduduk. Tidak Terdapat Tambang Golongan B Lainnya_x000a_(Hanya diInput Angka)" promptTitle="Jlh Naker Lokal Tambang Gol B" prompt=" (Diisi Angka)" xr:uid="{00000000-0002-0000-0200-00000B040000}">
          <x14:formula1>
            <xm:f>0</xm:f>
          </x14:formula1>
          <x14:formula2>
            <xm:f>IF(AND(F381="ada",SUM(F347,F350,F353,F356,F359,F363,F367,F370,F373,F376,F379,F383,F387,F390,F393,F396,F399,F402,F405,F409)&lt;='INPUTAN DESA ....'!F118),'INPUTAN DESA ....'!F118,0)</xm:f>
          </x14:formula2>
          <xm:sqref>F383</xm:sqref>
        </x14:dataValidation>
        <x14:dataValidation type="whole" showInputMessage="1" showErrorMessage="1" errorTitle="PERHATIKAN JUMLAH PENDUDUK" error="CEK JUMLAH PENDUDUK DI DESA._x000a_Tidak Terdapat Tambang Perak._x000a_Total Seluruh Pekerja Tambang Gol A, B, dan C, Tidak Lebih dari Jumlah Penduduk di Desa. (Hanya diInput Angka)" promptTitle="Jlh Naker Lokal Tambang Perak" prompt=" (Diisi Angka)" xr:uid="{00000000-0002-0000-0200-00000C040000}">
          <x14:formula1>
            <xm:f>0</xm:f>
          </x14:formula1>
          <x14:formula2>
            <xm:f>IF(AND(F378="ada",SUM(F347,F350,F353,F356,F359,F363,F367,F370,F373,F376,F379,F383,F387,F390,F393,F396,F399,F402,F405,F409)&lt;='INPUTAN DESA ....'!F118),'INPUTAN DESA ....'!F118,0)</xm:f>
          </x14:formula2>
          <xm:sqref>F379</xm:sqref>
        </x14:dataValidation>
        <x14:dataValidation type="whole" showInputMessage="1" showErrorMessage="1" errorTitle="PERHATIKAN JUMLAH PENDUDUK" error="CEK JUMLAH PENDUDUK DI DESA._x000a_Tidak Terdapat Tambang Emas._x000a_Total Seluruh Pekerja Tambang Gol A, B, dan C, Tidak Lebih dari Jumlah Penduduk di Desa. (Hanya diInput Angka)" promptTitle="Jlh Naker Lokal Tambang Emas" prompt=" (Diisi Angka)" xr:uid="{00000000-0002-0000-0200-00000D040000}">
          <x14:formula1>
            <xm:f>0</xm:f>
          </x14:formula1>
          <x14:formula2>
            <xm:f>IF(AND(F375="ada",SUM(F347,F350,F353,F356,F359,F363,F367,F370,F373,F376,F379,F383,F387,F390,F393,F396,F399,F402,F405,F409)&lt;='INPUTAN DESA ....'!F118),'INPUTAN DESA ....'!F118,0)</xm:f>
          </x14:formula2>
          <xm:sqref>F376</xm:sqref>
        </x14:dataValidation>
        <x14:dataValidation type="whole" showInputMessage="1" showErrorMessage="1" errorTitle="PERHATIKAN JUMLAH PENDUDUK" error="CEK JUMLAH PENDUDUK DI DESA._x000a_Tidak Terdapat Tambang Belerang._x000a_Total Seluruh Pekerja Tambang Gol A, B, dan C, Tidak Lebih dari Jumlah Penduduk di Desa. (Hanya diInput Angka)" promptTitle="Jlh Naker Lokal Tambang Belerang" prompt=" (Diisi Angka)" xr:uid="{00000000-0002-0000-0200-00000E040000}">
          <x14:formula1>
            <xm:f>0</xm:f>
          </x14:formula1>
          <x14:formula2>
            <xm:f>IF(AND(F372="ada",SUM(F347,F350,F353,F356,F359,F363,F367,F370,F373,F376,F379,F383,F387,F390,F393,F396,F399,F402,F405,F409)&lt;='INPUTAN DESA ....'!F118),'INPUTAN DESA ....'!F118,0)</xm:f>
          </x14:formula2>
          <xm:sqref>F373</xm:sqref>
        </x14:dataValidation>
        <x14:dataValidation type="whole" showInputMessage="1" showErrorMessage="1" errorTitle="PERHATIKAN JUMLAH PENDUDUK" error="CEK JUMLAH PENDUDUK DI DESA._x000a_Tidak Terdapat Tambang Tembaga._x000a_Total Seluruh Pekerja Tambang Gol A, B, dan C, Tidak Lebih dari Jumlah Penduduk di Desa. (Hanya diInput Angka)" promptTitle="Jlh Naker Lokal Tambang Tembaga" prompt=" (Diisi Angka)" xr:uid="{00000000-0002-0000-0200-00000F040000}">
          <x14:formula1>
            <xm:f>0</xm:f>
          </x14:formula1>
          <x14:formula2>
            <xm:f>IF(AND(F369="ada",SUM(F347,F350,F353,F356,F359,F363,F367,F370,F373,F376,F379,F383,F387,F390,F393,F396,F399,F402,F405,F409)&lt;='INPUTAN DESA ....'!F118),'INPUTAN DESA ....'!F118,0)</xm:f>
          </x14:formula2>
          <xm:sqref>F370</xm:sqref>
        </x14:dataValidation>
        <x14:dataValidation type="whole" showInputMessage="1" showErrorMessage="1" errorTitle="PERHATIKAN JUMLAH PENDUDUK" error="CEK JUMLAH PENDUDUK DI DESA._x000a_Tidak Terdapat Tambang Bauksit._x000a_Total Seluruh Pekerja Tambang Gol A, B, dan C, Tidak Lebih dari Jumlah Penduduk di Desa. (Hanya diInput Angka)" promptTitle="Jlh Naker Lokal Tambang Bauksit" prompt=" (Diisi Angka)" xr:uid="{00000000-0002-0000-0200-000010040000}">
          <x14:formula1>
            <xm:f>0</xm:f>
          </x14:formula1>
          <x14:formula2>
            <xm:f>IF(AND(F366="ada",SUM(F347,F350,F353,F356,F359,F363,F367,F370,F373,F376,F379,F383,F387,F390,F393,F396,F399,F402,F405,F409)&lt;='INPUTAN DESA ....'!F118),'INPUTAN DESA ....'!F118,0)</xm:f>
          </x14:formula2>
          <xm:sqref>F367</xm:sqref>
        </x14:dataValidation>
        <x14:dataValidation type="whole" showInputMessage="1" showErrorMessage="1" errorTitle="PERHATIKAN JUMLAH PENDUDUK" error="CEK JUMLAH PENDUDUK DI DESA, Tidak dapat Melebihi Jumlah Penduduk. Tidak Terdapat Tambang Golongan C Lainnya_x000a_(Hanya diInput Angka)" promptTitle="Jlh Naker Lokal Tambang Gol C " prompt=" (Diisi Angka)" xr:uid="{00000000-0002-0000-0200-000011040000}">
          <x14:formula1>
            <xm:f>0</xm:f>
          </x14:formula1>
          <x14:formula2>
            <xm:f>IF(AND(F407="ada",SUM(F347,F350,F353,F356,F359,F363,F367,F370,F373,F376,F379,F383,F387,F390,F393,F396,F399,F402,F405,F409)&lt;='INPUTAN DESA ....'!F118),'INPUTAN DESA ....'!F118,0)</xm:f>
          </x14:formula2>
          <xm:sqref>F409</xm:sqref>
        </x14:dataValidation>
        <x14:dataValidation type="whole" showInputMessage="1" showErrorMessage="1" errorTitle="PERHATIKAN JUMLAH PENDUDUK" error="CEK JUMLAH PENDUDUK DI DESA._x000a_Tidak Terdapat Tambang Batu Bara._x000a_Total Seluruh Pekerja Tambang Gol A, B, dan C, Tidak Lebih dari Jumlah Penduduk di Desa. (Hanya diInput Angka)" promptTitle="Jlh Naker Lokal Tambang Minyak B" prompt=" (Diisi Angka)" xr:uid="{00000000-0002-0000-0200-000012040000}">
          <x14:formula1>
            <xm:f>0</xm:f>
          </x14:formula1>
          <x14:formula2>
            <xm:f>IF(AND(F355="ada",SUM(F347,F350,F353,F356,F359,F363,F367,F370,F373,F376,F379,F383,F387,F390,F393,F396,F399,F402,F405,F409)&lt;='INPUTAN DESA ....'!F118),'INPUTAN DESA ....'!F118,0)</xm:f>
          </x14:formula2>
          <xm:sqref>F356</xm:sqref>
        </x14:dataValidation>
        <x14:dataValidation type="whole" showInputMessage="1" showErrorMessage="1" errorTitle="PERHATIKAN JUMLAH PENDUDUK" error="CEK JUMLAH PENDUDUK DI DESA._x000a_Tidak Terdapat Tambang Aspal._x000a_Total Seluruh Pekerja Tambang Gol A, B, dan C, Tidak Lebih dari Jumlah Penduduk di Desa. (Hanya diInput Angka)" promptTitle="Jlh Naker Lokal Tambang Aspal" prompt=" (Diisi Angka)" xr:uid="{00000000-0002-0000-0200-000013040000}">
          <x14:formula1>
            <xm:f>0</xm:f>
          </x14:formula1>
          <x14:formula2>
            <xm:f>IF(AND(F352="ada",SUM(F347,F350,F353,F356,F359,F363,F367,F370,F373,F376,F379,F383,F387,F390,F393,F396,F399,F402,F405,F409)&lt;='INPUTAN DESA ....'!F118),'INPUTAN DESA ....'!F118,0)</xm:f>
          </x14:formula2>
          <xm:sqref>F353</xm:sqref>
        </x14:dataValidation>
        <x14:dataValidation type="whole" showInputMessage="1" showErrorMessage="1" errorTitle="PERHATIKAN JUMLAH PENDUDUK" error="CEK JUMLAH PENDUDUK DI DESA._x000a_Tidak Terdapat Tambang Gas Alam._x000a_Total Seluruh Pekerja Tambang Gol A, B, dan C, Tidak Lebih dari Jumlah Penduduk di Desa. (Hanya diInput Angka)" promptTitle="Jlh Naker Lokal Tambang Gas Alam" prompt=" (Diisi Angka)" xr:uid="{00000000-0002-0000-0200-000014040000}">
          <x14:formula1>
            <xm:f>0</xm:f>
          </x14:formula1>
          <x14:formula2>
            <xm:f>IF(AND(F349="ada",SUM(F347,F350,F353,F356,F359,F363,F367,F370,F373,F376,F379,F383,F387,F390,F393,F396,F399,F402,F405,F409)&lt;='INPUTAN DESA ....'!F118),'INPUTAN DESA ....'!F118,0)</xm:f>
          </x14:formula2>
          <xm:sqref>F350</xm:sqref>
        </x14:dataValidation>
        <x14:dataValidation type="whole" showInputMessage="1" showErrorMessage="1" errorTitle="PERHATIKAN JUMLAH PENDUDUK" error="CEK JUMLAH PENDUDUK DI DESA._x000a_Tidak Terdapat Tambang Minyak Bumi._x000a_Total Seluruh Pekerja Tambang Gol A, B, dan C, Tidak Lebih dari Jumlah Penduduk di Desa. (Hanya diInput Angka)" promptTitle="Jlh Naker Lokal Tambang Minyak B" prompt=" (Diisi Angka)" xr:uid="{00000000-0002-0000-0200-000015040000}">
          <x14:formula1>
            <xm:f>0</xm:f>
          </x14:formula1>
          <x14:formula2>
            <xm:f>IF(AND(F346="ada",SUM(F347,F350,F353,F356,F359,F363,F367,F370,F373,F376,F379,F383,F387,F390,F393,F396,F399,F402,F405,F409)&lt;='INPUTAN DESA ....'!F118),'INPUTAN DESA ....'!F118,0)</xm:f>
          </x14:formula2>
          <xm:sqref>F347</xm:sqref>
        </x14:dataValidation>
        <x14:dataValidation type="whole" showInputMessage="1" showErrorMessage="1" errorTitle="PERHATIKAN JUMLAH PENDUDUK" error="CEK JUMLAH PENDUDUK DI DESA, Tidak dapat Melebihi Jumlah Penduduk. Tidak Terdapat Tambang Golongan A Lainnya_x000a_(Hanya diInput Angka)" promptTitle="Jlh Naker Lokal Tambang Gol A" prompt=" (Diisi Angka)" xr:uid="{00000000-0002-0000-0200-000016040000}">
          <x14:formula1>
            <xm:f>0</xm:f>
          </x14:formula1>
          <x14:formula2>
            <xm:f>IF(AND(F361="ada",SUM(F347,F350,F353,F356,F359,F363,F367,F370,F373,F376,F379,F383,F387,F390,F393,F396,F399,F402,F405,F409)&lt;='INPUTAN DESA ....'!F118),'INPUTAN DESA ....'!F118,0)</xm:f>
          </x14:formula2>
          <xm:sqref>F363</xm:sqref>
        </x14:dataValidation>
        <x14:dataValidation type="whole" showInputMessage="1" showErrorMessage="1" errorTitle="PERHATIKAN JUMLAH PENDUDUK" error="CEK JUMLAH PENDUDUK DI DESA._x000a_Tidak Terdapat Tambang Nikel._x000a_Total Seluruh Pekerja Tambang Gol A, B, dan C, Tidak Lebih dari Jumlah Penduduk di Desa. (Hanya diInput Angka)" promptTitle="Jlh Naker Lokal Tambang Nikel" prompt=" (Diisi Angka)" xr:uid="{00000000-0002-0000-0200-000017040000}">
          <x14:formula1>
            <xm:f>0</xm:f>
          </x14:formula1>
          <x14:formula2>
            <xm:f>IF(AND(F358="ada",SUM(F347,F350,F353,F356,F359,F363,F367,F370,F373,F376,F379,F383,F387,F390,F393,F396,F399,F402,F405,F409)&lt;='INPUTAN DESA ....'!F118),'INPUTAN DESA ....'!F118,0)</xm:f>
          </x14:formula2>
          <xm:sqref>F359</xm:sqref>
        </x14:dataValidation>
        <x14:dataValidation type="whole" showInputMessage="1" showErrorMessage="1" errorTitle="DATA TIDAK RASIONAL" error="Jumlah KK memiliki Rumah dan KK tidak Memiliki Rumah harus = TOTAL KK di Desa" promptTitle="Jlh KK yg Tidak Memiliki Rumah" prompt="Input Dengan Angka" xr:uid="{00000000-0002-0000-0200-000018040000}">
          <x14:formula1>
            <xm:f>0</xm:f>
          </x14:formula1>
          <x14:formula2>
            <xm:f>IF(SUM(F681:F682)&lt;='INPUTAN DESA ....'!F122,'INPUTAN DESA ....'!F122,0)</xm:f>
          </x14:formula2>
          <xm:sqref>F682</xm:sqref>
        </x14:dataValidation>
        <x14:dataValidation type="whole" showInputMessage="1" showErrorMessage="1" errorTitle="DATA TIDAK RASIONAL" error="Jumlah KK memiliki Rumah dan KK tidak Memiliki Rumah harus = TOTAL KK di Desa" promptTitle="Jlh KK yg Memiliki Rumah" prompt="Input Dengan Angka" xr:uid="{00000000-0002-0000-0200-000019040000}">
          <x14:formula1>
            <xm:f>0</xm:f>
          </x14:formula1>
          <x14:formula2>
            <xm:f>IF(SUM(F681:F682)&lt;='INPUTAN DESA ....'!F122,'INPUTAN DESA ....'!F122,0)</xm:f>
          </x14:formula2>
          <xm:sqref>F681</xm:sqref>
        </x14:dataValidation>
        <x14:dataValidation type="whole" showInputMessage="1" showErrorMessage="1" error="Tidak Terjadi Bencana Diisi Nol &quot; 0 &quot;_x000a_Cek Kuesioner Indeks Desa" promptTitle="Frek Kejadian Bencana" prompt="Kekeringan_x000a_(Kali/Tahun)" xr:uid="{00000000-0002-0000-0200-00001A040000}">
          <x14:formula1>
            <xm:f>0</xm:f>
          </x14:formula1>
          <x14:formula2>
            <xm:f>IF(OR('INPUTAN DESA ....'!F514="",'INPUTAN DESA ....'!F514="tidak ada"),0,12)</xm:f>
          </x14:formula2>
          <xm:sqref>F1284</xm:sqref>
        </x14:dataValidation>
        <x14:dataValidation type="whole" showInputMessage="1" showErrorMessage="1" error="Tidak Terjadi Bencana Diisi Nol &quot; 0 &quot;_x000a_Cek Kuesioner Indeks Desa" promptTitle="Frek Kejadian Bencana" prompt="Kebakaran_x000a_(Kali/Tahun)" xr:uid="{00000000-0002-0000-0200-00001B040000}">
          <x14:formula1>
            <xm:f>0</xm:f>
          </x14:formula1>
          <x14:formula2>
            <xm:f>IF(OR('INPUTAN DESA ....'!F513="",'INPUTAN DESA ....'!F513="tidak ada"),0,12)</xm:f>
          </x14:formula2>
          <xm:sqref>F1283</xm:sqref>
        </x14:dataValidation>
        <x14:dataValidation type="whole" showInputMessage="1" showErrorMessage="1" error="Tidak Terjadi Bencana Diisi Nol &quot; 0 &quot;_x000a_Cek Kuesioner Indeks Desa" promptTitle="Frek Kejadian Bencana" prompt="Gunung Meletus_x000a_(Kali/Tahun)" xr:uid="{00000000-0002-0000-0200-00001C040000}">
          <x14:formula1>
            <xm:f>0</xm:f>
          </x14:formula1>
          <x14:formula2>
            <xm:f>IF(OR('INPUTAN DESA ....'!F512="",'INPUTAN DESA ....'!F512="tidak ada"),0,2)</xm:f>
          </x14:formula2>
          <xm:sqref>F1282</xm:sqref>
        </x14:dataValidation>
        <x14:dataValidation type="whole" showInputMessage="1" showErrorMessage="1" error="Tidak Terjadi Bencana Diisi Nol &quot; 0 &quot;_x000a_Cek Kuesioner Indeks Desa" promptTitle="Frek Kejadian Bencana" prompt="Angin Puyuh/ Puting Beliung/ Topan_x000a_(Kali/Tahun)" xr:uid="{00000000-0002-0000-0200-00001D040000}">
          <x14:formula1>
            <xm:f>0</xm:f>
          </x14:formula1>
          <x14:formula2>
            <xm:f>IF(OR('INPUTAN DESA ....'!F511="",'INPUTAN DESA ....'!F511="tidak ada"),0,12)</xm:f>
          </x14:formula2>
          <xm:sqref>F1281</xm:sqref>
        </x14:dataValidation>
        <x14:dataValidation type="whole" showInputMessage="1" showErrorMessage="1" error="Tidak Terjadi Bencana Diisi Nol &quot; 0 &quot;_x000a_Cek Kuesioner Indeks Desa" promptTitle="Frek Kejadian Bencana" prompt="Gelompang Pasang_x000a_(Kali/Tahun)" xr:uid="{00000000-0002-0000-0200-00001E040000}">
          <x14:formula1>
            <xm:f>0</xm:f>
          </x14:formula1>
          <x14:formula2>
            <xm:f>IF(OR('INPUTAN DESA ....'!F510="",'INPUTAN DESA ....'!F510="tidak ada"),0,12)</xm:f>
          </x14:formula2>
          <xm:sqref>F1280</xm:sqref>
        </x14:dataValidation>
        <x14:dataValidation type="whole" showInputMessage="1" showErrorMessage="1" error="Tidak Terjadi Bencana Diisi Nol &quot; 0 &quot;_x000a_Cek Kuesioner Indeks Desa" promptTitle="Frek Kejadian Bencana" prompt="Tsunami_x000a_(Kali/Tahun)" xr:uid="{00000000-0002-0000-0200-00001F040000}">
          <x14:formula1>
            <xm:f>0</xm:f>
          </x14:formula1>
          <x14:formula2>
            <xm:f>IF(OR('INPUTAN DESA ....'!F509="",'INPUTAN DESA ....'!F509="tidak ada"),0,2)</xm:f>
          </x14:formula2>
          <xm:sqref>F1279</xm:sqref>
        </x14:dataValidation>
        <x14:dataValidation type="whole" showInputMessage="1" showErrorMessage="1" error="Tidak Terjadi Bencana Diisi Nol &quot; 0 &quot;_x000a_Cek Kuesioner Indeks Desa" promptTitle="Frek Kejadian Bencana" prompt="Gempa_x000a_(Kali/Tahun)" xr:uid="{00000000-0002-0000-0200-000020040000}">
          <x14:formula1>
            <xm:f>0</xm:f>
          </x14:formula1>
          <x14:formula2>
            <xm:f>IF(OR('INPUTAN DESA ....'!F508="",'INPUTAN DESA ....'!F508="tidak ada"),0,6)</xm:f>
          </x14:formula2>
          <xm:sqref>F1278</xm:sqref>
        </x14:dataValidation>
        <x14:dataValidation type="whole" showInputMessage="1" showErrorMessage="1" error="Tidak Terjadi Bencana Diisi Nol &quot; 0 &quot;_x000a_Cek Kuesioner Indeks Desa" promptTitle="Frek Kejadian Bencana" prompt="Banjir_x000a_(Kali/Tahun)" xr:uid="{00000000-0002-0000-0200-000021040000}">
          <x14:formula1>
            <xm:f>0</xm:f>
          </x14:formula1>
          <x14:formula2>
            <xm:f>IF(OR('INPUTAN DESA ....'!F507="",'INPUTAN DESA ....'!F507="tidak ada"),0,12)</xm:f>
          </x14:formula2>
          <xm:sqref>F1277</xm:sqref>
        </x14:dataValidation>
        <x14:dataValidation type="whole" showInputMessage="1" showErrorMessage="1" error="Tidak Terjadi Bencana Diisi Nol &quot; 0 &quot;_x000a_Cek Kuesioner Indeks Desa" promptTitle="Frek Kejadian Bencana" prompt="Tanah Longsor_x000a_(Kali/Tahun)_x000a_Jika Tidak Ada Diisi nol" xr:uid="{00000000-0002-0000-0200-000022040000}">
          <x14:formula1>
            <xm:f>0</xm:f>
          </x14:formula1>
          <x14:formula2>
            <xm:f>IF(OR('INPUTAN DESA ....'!F506="",'INPUTAN DESA ....'!F506="tidak ada"),0,12)</xm:f>
          </x14:formula2>
          <xm:sqref>F1276</xm:sqref>
        </x14:dataValidation>
        <x14:dataValidation type="list" showInputMessage="1" showErrorMessage="1" error="Desa Tidak Berbatasan dengan Negara Tetangga diisi Tidak Ada" promptTitle="Negara Tetangga" prompt="Tidak Ada_x000a_Malaysia_x000a_Papua Nugini_x000a_Timor Leste_x000a_Singapura_x000a_Filipina_x000a_Vietnam_x000a_Australia_x000a_India" xr:uid="{00000000-0002-0000-0200-000023040000}">
          <x14:formula1>
            <xm:f>IF($I$129=1,OFFSET($I$196,MATCH('INPUTAN DESA ....'!F21,H197:H251,0),0,COUNTIF(H198:H251,'INPUTAN DESA ....'!F21),1),tidakada)</xm:f>
          </x14:formula1>
          <xm:sqref>F129</xm:sqref>
        </x14:dataValidation>
        <x14:dataValidation type="list" operator="lessThanOrEqual" showInputMessage="1" showErrorMessage="1" error="Cek di Kuesioner Indeks Desa._x000a_Ketersediaan Pasar di Desa" promptTitle="Jlh Pasar Semi Permanen" prompt="(Unit)" xr:uid="{00000000-0002-0000-0200-000024040000}">
          <x14:formula1>
            <xm:f>IF(OR('INPUTAN DESA ....'!F419=1,'INPUTAN DESA ....'!F419=""),nol,nollima)</xm:f>
          </x14:formula1>
          <xm:sqref>F1047</xm:sqref>
        </x14:dataValidation>
        <x14:dataValidation type="whole" showInputMessage="1" showErrorMessage="1" error="Cek Kuesioner Indeks Desa._x000a_Kejadian Konflik antar Kelompok Masyarakat dengan Aparat Keamanan di Desa" promptTitle="Jlh Kejadian Konfik" prompt="Antara Kelompok Masyarakat dengan Aparat Keamanan_x000a_Jika tidak ada diisi &quot; 0 &quot;" xr:uid="{00000000-0002-0000-0200-000025040000}">
          <x14:formula1>
            <xm:f>IF('INPUTAN DESA ....'!F352="Ada",1,0)</xm:f>
          </x14:formula1>
          <x14:formula2>
            <xm:f>IF(OR('INPUTAN DESA ....'!F352="",'INPUTAN DESA ....'!F352="tidak ada"),0,50)</xm:f>
          </x14:formula2>
          <xm:sqref>F725</xm:sqref>
        </x14:dataValidation>
        <x14:dataValidation type="whole" operator="lessThanOrEqual" showInputMessage="1" showErrorMessage="1" promptTitle="Jarak Tower Terdekat" prompt="Input Menggunakan Angka" xr:uid="{00000000-0002-0000-0200-000026040000}">
          <x14:formula1>
            <xm:f>IF(SUM($F$1254:$F$1255)&lt;='INPUTAN DESA ....'!F122,'INPUTAN DESA ....'!F122,0)</xm:f>
          </x14:formula1>
          <xm:sqref>F682</xm:sqref>
        </x14:dataValidation>
        <x14:dataValidation type="list" showInputMessage="1" showErrorMessage="1" error="Cek Kuesioner Indeks Desa Layanan Telekomunikasi, Keberadaan Internet di Desa" promptTitle="SPBE dapat diakses Penduduk desa" prompt="Ada_x000a_Tidak Ada" xr:uid="{00000000-0002-0000-0200-000027040000}">
          <x14:formula1>
            <xm:f>IF(OR('INPUTAN DESA ....'!F571="",'INPUTAN DESA ....'!F571=1),tidakada,adatidak)</xm:f>
          </x14:formula1>
          <xm:sqref>F667</xm:sqref>
        </x14:dataValidation>
        <x14:dataValidation type="list" showInputMessage="1" showErrorMessage="1" error="Cek Kuesioner Indeks Desa Layanan Telekomunikasi, Keberadaan Internet di Desa" promptTitle="Sosialisasi Lay Perizinan Online" prompt="Ada_x000a_Tidak Ada" xr:uid="{00000000-0002-0000-0200-000028040000}">
          <x14:formula1>
            <xm:f>IF(OR('INPUTAN DESA ....'!F571="",'INPUTAN DESA ....'!F571=1),tidakada,adatidak)</xm:f>
          </x14:formula1>
          <xm:sqref>F666</xm:sqref>
        </x14:dataValidation>
        <x14:dataValidation type="list" showInputMessage="1" showErrorMessage="1" error="Cek Kuesioner Indeks Desa Layanan Telekomunikasi, Keberadaan Internet di Desa" promptTitle="Layanan Perizinan Online" prompt="Ada_x000a_Tidak Ada" xr:uid="{00000000-0002-0000-0200-000029040000}">
          <x14:formula1>
            <xm:f>IF(OR('INPUTAN DESA ....'!F571="",'INPUTAN DESA ....'!F571=1),tidakada,adatidak)</xm:f>
          </x14:formula1>
          <xm:sqref>F665</xm:sqref>
        </x14:dataValidation>
        <x14:dataValidation type="list" showInputMessage="1" showErrorMessage="1" error="Cek Kuesioner Indeks Desa Layanan Telekomunikasi, Keberadaan Internet di Desa" promptTitle="Sosialisasi Lay Pendidikan Oline" prompt="Ada_x000a_Tidak Ada" xr:uid="{00000000-0002-0000-0200-00002A040000}">
          <x14:formula1>
            <xm:f>IF(OR('INPUTAN DESA ....'!F571="",'INPUTAN DESA ....'!F571=1),tidakada,adatidak)</xm:f>
          </x14:formula1>
          <xm:sqref>F664</xm:sqref>
        </x14:dataValidation>
        <x14:dataValidation type="list" showInputMessage="1" showErrorMessage="1" error="Cek Kuesioner Indeks Desa Layanan Telekomunikasi, Keberadaan Internet di Desa" promptTitle="Layanan pendidikan Online" prompt="Ada_x000a_Tidak Ada" xr:uid="{00000000-0002-0000-0200-00002B040000}">
          <x14:formula1>
            <xm:f>IF(OR('INPUTAN DESA ....'!F571="",'INPUTAN DESA ....'!F571=1),tidakada,adatidak)</xm:f>
          </x14:formula1>
          <xm:sqref>F663</xm:sqref>
        </x14:dataValidation>
        <x14:dataValidation type="list" showInputMessage="1" showErrorMessage="1" error="Cek Kuesioner Indeks Desa Layanan Telekomunikasi, Keberadaan Internet di Desa" promptTitle="Sosialisasi Layanan Sehat Online" prompt="Ada_x000a_Tidak Ada" xr:uid="{00000000-0002-0000-0200-00002C040000}">
          <x14:formula1>
            <xm:f>IF(OR('INPUTAN DESA ....'!F571="",'INPUTAN DESA ....'!F571=1),tidakada,adatidak)</xm:f>
          </x14:formula1>
          <xm:sqref>F662</xm:sqref>
        </x14:dataValidation>
        <x14:dataValidation type="list" showInputMessage="1" showErrorMessage="1" error="Cek Kuesioner Indeks Desa Layanan Telekomunikasi, Keberadaan Internet di Desa" promptTitle="Layanan Kesehatan Online" prompt="Ada_x000a_Tidak Ada" xr:uid="{00000000-0002-0000-0200-00002D040000}">
          <x14:formula1>
            <xm:f>IF(OR('INPUTAN DESA ....'!F571="",'INPUTAN DESA ....'!F571=1),tidakada,adatidak)</xm:f>
          </x14:formula1>
          <xm:sqref>F661</xm:sqref>
        </x14:dataValidation>
        <x14:dataValidation type="list" showInputMessage="1" showErrorMessage="1" error="Cek Kuesioner Indeks Desa Layanan Telekomunikasi, Keberadaan Internet di Desa" promptTitle="Sosialisasi Kependudukan Online" prompt="Ada_x000a_Tidak Ada" xr:uid="{00000000-0002-0000-0200-00002E040000}">
          <x14:formula1>
            <xm:f>IF(OR('INPUTAN DESA ....'!F571="",'INPUTAN DESA ....'!F571=1),tidakada,adatidak)</xm:f>
          </x14:formula1>
          <xm:sqref>F660</xm:sqref>
        </x14:dataValidation>
        <x14:dataValidation type="list" showInputMessage="1" showErrorMessage="1" error="Cek Kuesioner Indeks Desa Layanan Telekomunikasi, Keberadaan Internet di Desa" promptTitle="Layanan Penduduk Berbasis Online" prompt="Ada_x000a_Tidak Ada" xr:uid="{00000000-0002-0000-0200-00002F040000}">
          <x14:formula1>
            <xm:f>IF(OR('INPUTAN DESA ....'!F571="",'INPUTAN DESA ....'!F571=1),tidakada,adatidak)</xm:f>
          </x14:formula1>
          <xm:sqref>F659</xm:sqref>
        </x14:dataValidation>
        <x14:dataValidation type="list" showInputMessage="1" showErrorMessage="1" error="Cek Kuesioner Indeks Desa._x000a_Ketersediaan Akses Internet Sebagian Besar di Desa" promptTitle="Pelatihan/ Literasi Internet " prompt="Ada_x000a_Tidak Ada" xr:uid="{00000000-0002-0000-0200-000030040000}">
          <x14:formula1>
            <xm:f>IF(OR('INPUTAN DESA ....'!F571="",'INPUTAN DESA ....'!F571=1),tidakada,adatidak)</xm:f>
          </x14:formula1>
          <xm:sqref>F992</xm:sqref>
        </x14:dataValidation>
        <x14:dataValidation type="list" showInputMessage="1" showErrorMessage="1" error="Cek Kuesioner Indeks Desa._x000a_Ketersediaan Akses Internet Sebagian Besar di Desa" promptTitle="Pelaku Usaha pakai E-commercce" prompt="Ada_x000a_Tidak Ada" xr:uid="{00000000-0002-0000-0200-000031040000}">
          <x14:formula1>
            <xm:f>IF(OR('INPUTAN DESA ....'!F571="",'INPUTAN DESA ....'!F571=1),tidakada,adatidak)</xm:f>
          </x14:formula1>
          <xm:sqref>F991</xm:sqref>
        </x14:dataValidation>
        <x14:dataValidation type="list" showInputMessage="1" showErrorMessage="1" error="Cek Kuesioner Indeks Desa._x000a_Ketersediaan Akses Internet Sebagian Besar di Desa" promptTitle="Akses Platform Digital" prompt="Ada_x000a_Tidak Ada" xr:uid="{00000000-0002-0000-0200-000032040000}">
          <x14:formula1>
            <xm:f>IF(OR('INPUTAN DESA ....'!F571="",'INPUTAN DESA ....'!F571=1),tidakada,adatidak)</xm:f>
          </x14:formula1>
          <xm:sqref>F993</xm:sqref>
        </x14:dataValidation>
        <x14:dataValidation type="list" showInputMessage="1" showErrorMessage="1" error="Cek Kuesioner Indeks Desa Layanan Telekomunikasi, Keberadaan Internet di Desa" promptTitle="Rata-Rata Pulsa/kuota internet" prompt="Tidak Ada_x000a_Gratis_x000a_&lt;25.000_x000a_25.000 - 50.000_x000a_&gt;50.000 - 100.000_x000a_&gt;100.000" xr:uid="{00000000-0002-0000-0200-000033040000}">
          <x14:formula1>
            <xm:f>IF(OR('INPUTAN DESA ....'!F571="",'INPUTAN DESA ....'!F571=1),tidakada,biayainternet)</xm:f>
          </x14:formula1>
          <xm:sqref>F658</xm:sqref>
        </x14:dataValidation>
        <x14:dataValidation type="list" showInputMessage="1" showErrorMessage="1" error="Cek Kuesioner Indeks Desa Layanan Telekomunikasi, Keberadaan Internet di Desa" promptTitle="Sosialisasi Pemanfaatan TIK" prompt="Ada_x000a_Tidak Ada" xr:uid="{00000000-0002-0000-0200-000034040000}">
          <x14:formula1>
            <xm:f>IF(OR('INPUTAN DESA ....'!F571="",'INPUTAN DESA ....'!F571=1),tidakada,adatidak)</xm:f>
          </x14:formula1>
          <xm:sqref>F653</xm:sqref>
        </x14:dataValidation>
        <x14:dataValidation type="list" showInputMessage="1" showErrorMessage="1" error="Cek Kuesioner Indeks Desa Layanan Telekomunikasi, Keberadaan Internet di Desa" promptTitle="Layanan Internet Gratis Warga" prompt="Ada_x000a_Tidak Ada" xr:uid="{00000000-0002-0000-0200-000035040000}">
          <x14:formula1>
            <xm:f>IF(OR('INPUTAN DESA ....'!F571=1,'INPUTAN DESA ....'!F571=""),tidakada,adatidak)</xm:f>
          </x14:formula1>
          <xm:sqref>F651</xm:sqref>
        </x14:dataValidation>
        <x14:dataValidation type="list" showInputMessage="1" showErrorMessage="1" error="Cek Kuesioner Indeks Desa._x000a_Keberadaan Akses Internet di Desa" promptTitle="Operator lainnya Terima Sinyal" prompt="Operator / provider telepon seluler lainnya dapat menerima sinyal_x000a_Ada_x000a_Tidak Ada" xr:uid="{00000000-0002-0000-0200-000036040000}">
          <x14:formula1>
            <xm:f>IF(OR('INPUTAN DESA ....'!F571=1,'INPUTAN DESA ....'!F571=""),tidakada,adatidak)</xm:f>
          </x14:formula1>
          <xm:sqref>F643</xm:sqref>
        </x14:dataValidation>
        <x14:dataValidation type="list" showInputMessage="1" showErrorMessage="1" error="Cek Kuesioner Indeks Desa Layanan Telekomunikasi Provider" promptTitle="Jaringan Internet Smartfren" prompt="Tidak Ada_x000a_2G/ 2.5G/ GPRS/ EDGE_x000a_3G/ 3.5G/ HSDPA/ EVDO_x000a_4G LTE_x000a_5G" xr:uid="{00000000-0002-0000-0200-000037040000}">
          <x14:formula1>
            <xm:f>IF(OR('INPUTAN DESA ....'!F576="",'INPUTAN DESA ....'!F576="tidak ada"),tidakada,internet)</xm:f>
          </x14:formula1>
          <xm:sqref>F642</xm:sqref>
        </x14:dataValidation>
        <x14:dataValidation type="list" showInputMessage="1" showErrorMessage="1" error="Cek Kuesioner Indeks Desa Layanan Telekomunikasi Provider" promptTitle="Jaringan Internet Axis" prompt="Tidak Ada_x000a_2G/ 2.5G/ GPRS/ EDGE_x000a_3G/ 3.5G/ HSDPA/ EVDO_x000a_4G LTE_x000a_5G" xr:uid="{00000000-0002-0000-0200-000038040000}">
          <x14:formula1>
            <xm:f>IF(OR('INPUTAN DESA ....'!F575="",'INPUTAN DESA ....'!F575="tidak ada"),tidakada,internet)</xm:f>
          </x14:formula1>
          <xm:sqref>F641</xm:sqref>
        </x14:dataValidation>
        <x14:dataValidation type="list" showInputMessage="1" showErrorMessage="1" error="Cek Kuesioner Indeks Desa Layanan Telekomunikasi Provider" promptTitle="Jaringan Internet XL" prompt="Tidak Ada_x000a_2G/ 2.5G/ GPRS/ EDGE_x000a_3G/ 3.5G/ HSDPA/ EVDO_x000a_4G LTE_x000a_5G" xr:uid="{00000000-0002-0000-0200-000039040000}">
          <x14:formula1>
            <xm:f>IF(OR('INPUTAN DESA ....'!F574="",'INPUTAN DESA ....'!F574="tidak ada"),tidakada,internet)</xm:f>
          </x14:formula1>
          <xm:sqref>F640</xm:sqref>
        </x14:dataValidation>
        <x14:dataValidation type="list" showInputMessage="1" showErrorMessage="1" error="Cek Kuesioner Indeks Desa Layanan Telekomunikasi Provider" promptTitle="Jaringan Internet Indosat" prompt="Tidak Ada_x000a_2G/ 2.5G/ GPRS/ EDGE_x000a_3G/ 3.5G/ HSDPA/ EVDO_x000a_4G LTE_x000a_5G" xr:uid="{00000000-0002-0000-0200-00003A040000}">
          <x14:formula1>
            <xm:f>IF(OR('INPUTAN DESA ....'!F573="",'INPUTAN DESA ....'!F573="tidak ada"),tidakada,internet)</xm:f>
          </x14:formula1>
          <xm:sqref>F639</xm:sqref>
        </x14:dataValidation>
        <x14:dataValidation type="list" showInputMessage="1" showErrorMessage="1" error="Cek Kuesioner Indeks Desa Layanan Telekomunikasi Provider" promptTitle="Jaringan Internet Telkomsel" prompt="Tidak Ada_x000a_2G/ 2.5G/ GPRS/ EDGE_x000a_3G/ 3.5G/ HSDPA/ EVDO_x000a_4G LTE_x000a_5G" xr:uid="{00000000-0002-0000-0200-00003B040000}">
          <x14:formula1>
            <xm:f>IF(OR('INPUTAN DESA ....'!F572="",'INPUTAN DESA ....'!F572="tidak ada"),tidakada,internet)</xm:f>
          </x14:formula1>
          <xm:sqref>F638</xm:sqref>
        </x14:dataValidation>
        <x14:dataValidation type="list" showInputMessage="1" showErrorMessage="1" error="Cek Kuesioner Indeks Desa._x000a_Ketersediaan Layanan BPR di Desa" promptTitle="Kredit lainnya" prompt="Terdapat fasilitas kredit lainnya_x000a_Ada_x000a_Tidak Ada" xr:uid="{00000000-0002-0000-0200-00003C040000}">
          <x14:formula1>
            <xm:f>IF(OR('INPUTAN DESA ....'!F464="",'INPUTAN DESA ....'!F464="tidak ada"),tidakada,adatidak)</xm:f>
          </x14:formula1>
          <xm:sqref>F1263</xm:sqref>
        </x14:dataValidation>
        <x14:dataValidation type="list" showInputMessage="1" showErrorMessage="1" error="Cek Kuesioner Indeks Desa._x000a_Ketersediaan Layanan Perbankan di Desa" promptTitle="Bank Swasta" prompt="Terdapat bank swasta di Desa _x000a_Ada_x000a_Tidak Ada" xr:uid="{00000000-0002-0000-0200-00003D040000}">
          <x14:formula1>
            <xm:f>IF(OR('INPUTAN DESA ....'!F462="",'INPUTAN DESA ....'!F462=1),tidakada,adatidak)</xm:f>
          </x14:formula1>
          <xm:sqref>F1261</xm:sqref>
        </x14:dataValidation>
        <x14:dataValidation type="list" showInputMessage="1" showErrorMessage="1" error="Cek Kuesioner Indeks Desa._x000a_Ketersediaan Layanan Perbankan di Desa" promptTitle="Bank Pemerintah" prompt="Terdapat bank umum pemerintah di Desa_x000a_Ada_x000a_Tidak Ada" xr:uid="{00000000-0002-0000-0200-00003E040000}">
          <x14:formula1>
            <xm:f>IF(OR('INPUTAN DESA ....'!F462="",'INPUTAN DESA ....'!F462=1),tidakada,adatidak)</xm:f>
          </x14:formula1>
          <xm:sqref>F1259</xm:sqref>
        </x14:dataValidation>
        <x14:dataValidation type="whole" showInputMessage="1" showErrorMessage="1" error="Ketersedian Lembaga Ekonomi Lain._x000a_CEK Kuesioner Indeks Desa" promptTitle="Jumlah Industri Menengah di Desa" prompt="Input Menggunakan Angka" xr:uid="{00000000-0002-0000-0200-00003F040000}">
          <x14:formula1>
            <xm:f>0</xm:f>
          </x14:formula1>
          <x14:formula2>
            <xm:f>IF(OR('INPUTAN DESA ....'!F458=1,'INPUTAN DESA ....'!F458=""),0,100)</xm:f>
          </x14:formula2>
          <xm:sqref>F1256</xm:sqref>
        </x14:dataValidation>
        <x14:dataValidation type="whole" showInputMessage="1" showErrorMessage="1" error="Ketersedian Lembaga Ekonomi Lain._x000a_CEK Kuesioner Indeks Desa" promptTitle="Jlh Mikro kecil-Lainnya" prompt="Input Menggunakan Angka" xr:uid="{00000000-0002-0000-0200-000040040000}">
          <x14:formula1>
            <xm:f>0</xm:f>
          </x14:formula1>
          <x14:formula2>
            <xm:f>IF(OR('INPUTAN DESA ....'!F458=1,'INPUTAN DESA ....'!F458=""),0,100)</xm:f>
          </x14:formula2>
          <xm:sqref>F1254</xm:sqref>
        </x14:dataValidation>
        <x14:dataValidation type="whole" showInputMessage="1" showErrorMessage="1" error="Ketersedian Lembaga Ekonomi Lain._x000a_CEK Kuesioner Indeks Desa" promptTitle="Jlh Mikro kecil-Perikanan" prompt="Input Menggunakan Angka" xr:uid="{00000000-0002-0000-0200-000041040000}">
          <x14:formula1>
            <xm:f>0</xm:f>
          </x14:formula1>
          <x14:formula2>
            <xm:f>IF(OR('INPUTAN DESA ....'!F458=1,'INPUTAN DESA ....'!F458=""),0,100)</xm:f>
          </x14:formula2>
          <xm:sqref>F1251</xm:sqref>
        </x14:dataValidation>
        <x14:dataValidation type="whole" showInputMessage="1" showErrorMessage="1" error="Ketersedian Lembaga Ekonomi Lain di Desa._x000a_CEK Kuesioner Indeks Desa" promptTitle="Jlh Mikro kecil-Industri RT" prompt="Input Menggunakan Angka" xr:uid="{00000000-0002-0000-0200-000042040000}">
          <x14:formula1>
            <xm:f>0</xm:f>
          </x14:formula1>
          <x14:formula2>
            <xm:f>IF(OR('INPUTAN DESA ....'!F458=1,'INPUTAN DESA ....'!F458=""),0,100)</xm:f>
          </x14:formula2>
          <xm:sqref>F1249</xm:sqref>
        </x14:dataValidation>
        <x14:dataValidation type="whole" showInputMessage="1" showErrorMessage="1" error="Ketersedian Lembaga Ekonomi Lain._x000a_CEK Kuesioner Indeks Desa" promptTitle="Jlh Mikro kecil-Pertanian" prompt="Input Menggunakan Angka" xr:uid="{00000000-0002-0000-0200-000043040000}">
          <x14:formula1>
            <xm:f>0</xm:f>
          </x14:formula1>
          <x14:formula2>
            <xm:f>IF(OR('INPUTAN DESA ....'!F458=1,'INPUTAN DESA ....'!F458=""),0,100)</xm:f>
          </x14:formula2>
          <xm:sqref>F1252</xm:sqref>
        </x14:dataValidation>
        <x14:dataValidation type="whole" showInputMessage="1" showErrorMessage="1" error="Ketersedian Lembaga Ekonomi Lain._x000a_CEK Kuesioner Indeks Desa" promptTitle="Jlh Mikro kecil-Pariwisata" prompt="Input Menggunakan Angka" xr:uid="{00000000-0002-0000-0200-000044040000}">
          <x14:formula1>
            <xm:f>0</xm:f>
          </x14:formula1>
          <x14:formula2>
            <xm:f>IF(OR('INPUTAN DESA ....'!F458=1,'INPUTAN DESA ....'!F458=""),0,100)</xm:f>
          </x14:formula2>
          <xm:sqref>F1250</xm:sqref>
        </x14:dataValidation>
        <x14:dataValidation type="whole" showInputMessage="1" showErrorMessage="1" error="Ketersedian Lembaga Ekonomi Lain._x000a_CEK Kuesioner Indeks Desa" promptTitle="Jlh Mikro kecil-Peternakan" prompt="Input Menggunakan Angka" xr:uid="{00000000-0002-0000-0200-000045040000}">
          <x14:formula1>
            <xm:f>0</xm:f>
          </x14:formula1>
          <x14:formula2>
            <xm:f>IF(OR('INPUTAN DESA ....'!F458=1,'INPUTAN DESA ....'!F458=""),0,100)</xm:f>
          </x14:formula2>
          <xm:sqref>F1253</xm:sqref>
        </x14:dataValidation>
        <x14:dataValidation type="whole" showInputMessage="1" showErrorMessage="1" error="Tidak Terdapat Bumdesma diisi &quot; 0 &quot;._x000a_Cek Kuesioner Indeks Desa" promptTitle="Omset Bumdesma 1 Tahun T'akhir" prompt="Rupiah" xr:uid="{00000000-0002-0000-0200-000046040000}">
          <x14:formula1>
            <xm:f>0</xm:f>
          </x14:formula1>
          <x14:formula2>
            <xm:f>IF(OR('INPUTAN DESA ....'!F454=1,'INPUTAN DESA ....'!F454=""),0,50000000000)</xm:f>
          </x14:formula2>
          <xm:sqref>F1233</xm:sqref>
        </x14:dataValidation>
        <x14:dataValidation type="textLength" showInputMessage="1" showErrorMessage="1" error="Tidak Terdapat Bumdesma, diisi &quot; - &quot;._x000a_Cek Kuesioner Indeks Desa_x000a_Keberadaan Bumdesa Bersama di Desa" promptTitle="Nama Bumdesa Bersama" prompt="  Jika Tidak Ada diisi &quot; - &quot;" xr:uid="{00000000-0002-0000-0200-000047040000}">
          <x14:formula1>
            <xm:f>1</xm:f>
          </x14:formula1>
          <x14:formula2>
            <xm:f>IF(OR('INPUTAN DESA ....'!F454="",'INPUTAN DESA ....'!F454=1),2,50)</xm:f>
          </x14:formula2>
          <xm:sqref>F1187</xm:sqref>
        </x14:dataValidation>
        <x14:dataValidation type="list" showInputMessage="1" showErrorMessage="1" error="Cek Kuesioner Indeks Desa_x000a_Keberadaan Bumdesa Bersama di Desa" promptTitle="Kantor Bumdesa Bersama di desa" prompt="Ada_x000a_Tidak Ada" xr:uid="{00000000-0002-0000-0200-000048040000}">
          <x14:formula1>
            <xm:f>IF(OR('INPUTAN DESA ....'!F454="",'INPUTAN DESA ....'!F454=1),tidakada,adatidak)</xm:f>
          </x14:formula1>
          <xm:sqref>F1188</xm:sqref>
        </x14:dataValidation>
        <x14:dataValidation type="list" showInputMessage="1" showErrorMessage="1" promptTitle="Program Makan Bergizi Gratis" prompt="Tidak Ada_x000a_Ada, Dikelola oleh Bumdes/Bumdesma_x000a_Ada, Dikelola oleh Mitra Lainnya" xr:uid="{00000000-0002-0000-0200-000049040000}">
          <x14:formula1>
            <xm:f>IF(OR('INPUTAN DESA ....'!F450="",'INPUTAN DESA ....'!F450=1),mitra,bumdes)</xm:f>
          </x14:formula1>
          <xm:sqref>F1247</xm:sqref>
        </x14:dataValidation>
        <x14:dataValidation type="whole" showInputMessage="1" showErrorMessage="1" error="Tidak Terdapat Bumdesa, diisi &quot; 0 &quot;._x000a_Cek Kuesioner Indeks Desa" promptTitle="Omset Bumdes 1 Tahun T'akhir" prompt="Rupiah" xr:uid="{00000000-0002-0000-0200-00004A040000}">
          <x14:formula1>
            <xm:f>0</xm:f>
          </x14:formula1>
          <x14:formula2>
            <xm:f>IF(OR('INPUTAN DESA ....'!F450=1,'INPUTAN DESA ....'!F450=""),0,50000000000)</xm:f>
          </x14:formula2>
          <xm:sqref>F1232</xm:sqref>
        </x14:dataValidation>
        <x14:dataValidation type="list" showInputMessage="1" showErrorMessage="1" error="Cek Kuesioner Indeks Desa_x000a_Keberadaan Bumdes di Desa" promptTitle="Tdapat Bumdesa Perdagangan" prompt="Ada_x000a_Tidak Ada" xr:uid="{00000000-0002-0000-0200-00004B040000}">
          <x14:formula1>
            <xm:f>IF(OR('INPUTAN DESA ....'!F450="",'INPUTAN DESA ....'!F450=1),tidakada,adatidak)</xm:f>
          </x14:formula1>
          <xm:sqref>F1199</xm:sqref>
        </x14:dataValidation>
        <x14:dataValidation type="list" showInputMessage="1" showErrorMessage="1" error="Cek Kuesioner Indeks Desa_x000a_Keberadaan Bumdes di Desa" promptTitle="Tdapat Bumdesa Bid Bisnis Sosial" prompt="Ada_x000a_Tidak Ada" xr:uid="{00000000-0002-0000-0200-00004C040000}">
          <x14:formula1>
            <xm:f>IF(OR('INPUTAN DESA ....'!F450="",'INPUTAN DESA ....'!F450=1),tidakada,adatidak)</xm:f>
          </x14:formula1>
          <xm:sqref>F1189</xm:sqref>
        </x14:dataValidation>
        <x14:dataValidation type="list" showInputMessage="1" showErrorMessage="1" error="Cek Kuesioner Indeks Desa_x000a_Keberadaan Bumdes di Desa" promptTitle="Tdapat Bumdesa Keuangan" prompt="Ada_x000a_Tidak Ada" xr:uid="{00000000-0002-0000-0200-00004D040000}">
          <x14:formula1>
            <xm:f>IF(OR('INPUTAN DESA ....'!F450="",'INPUTAN DESA ....'!F450=1),tidakada,adatidak)</xm:f>
          </x14:formula1>
          <xm:sqref>F1207</xm:sqref>
        </x14:dataValidation>
        <x14:dataValidation type="list" showInputMessage="1" showErrorMessage="1" error="Cek Kuesioner Indeks Desa_x000a_Keberadaan Bumdes di Desa" promptTitle="Tdapat Bumdesa Usaha" prompt="Ada_x000a_Tidak Ada" xr:uid="{00000000-0002-0000-0200-00004E040000}">
          <x14:formula1>
            <xm:f>IF(OR('INPUTAN DESA ....'!F450="",'INPUTAN DESA ....'!F450=1),tidakada,adatidak)</xm:f>
          </x14:formula1>
          <xm:sqref>F1223</xm:sqref>
        </x14:dataValidation>
        <x14:dataValidation type="list" showInputMessage="1" showErrorMessage="1" error="Cek Kuesioner Indeks Desa_x000a_Keberadaan Bumdes di Desa" promptTitle="Tdapat Bumdesa Perantara" prompt="Ada_x000a_Tidak Ada" xr:uid="{00000000-0002-0000-0200-00004F040000}">
          <x14:formula1>
            <xm:f>IF(OR('INPUTAN DESA ....'!F450="",'INPUTAN DESA ....'!F450=1),tidakada,adatidak)</xm:f>
          </x14:formula1>
          <xm:sqref>F1216</xm:sqref>
        </x14:dataValidation>
        <x14:dataValidation type="list" showInputMessage="1" showErrorMessage="1" error="Cek Kuesioner Indeks Desa_x000a_Keberadaan Bumdes di Desa" promptTitle="Tdapat Bumdesa Pariwisata" prompt="Ada_x000a_Tidak Ada" xr:uid="{00000000-0002-0000-0200-000050040000}">
          <x14:formula1>
            <xm:f>IF(OR('INPUTAN DESA ....'!F450="",'INPUTAN DESA ....'!F450=1),tidakada,adatidak)</xm:f>
          </x14:formula1>
          <xm:sqref>F1227</xm:sqref>
        </x14:dataValidation>
        <x14:dataValidation type="list" showInputMessage="1" showErrorMessage="1" error="Cek Kuesioner Indeks Desa_x000a_Keberadaan Bumdes di Desa" promptTitle="Tdapat Bumdesa Jasa Penyewaan" prompt="Ada_x000a_Tidak Ada" xr:uid="{00000000-0002-0000-0200-000051040000}">
          <x14:formula1>
            <xm:f>IF(OR('INPUTAN DESA ....'!F450="",'INPUTAN DESA ....'!F450=1),tidakada,adatidak)</xm:f>
          </x14:formula1>
          <xm:sqref>F1194</xm:sqref>
        </x14:dataValidation>
        <x14:dataValidation type="textLength" showInputMessage="1" showErrorMessage="1" promptTitle="SK Pengelolaan Bumdesa" prompt=" " xr:uid="{00000000-0002-0000-0200-000052040000}">
          <x14:formula1>
            <xm:f>1</xm:f>
          </x14:formula1>
          <x14:formula2>
            <xm:f>IF(OR('INPUTAN DESA ....'!F450="",'INPUTAN DESA ....'!F450=1),1,50)</xm:f>
          </x14:formula2>
          <xm:sqref>F1243</xm:sqref>
        </x14:dataValidation>
        <x14:dataValidation type="textLength" showInputMessage="1" showErrorMessage="1" promptTitle="Nama Pengelola Bumdesa" prompt=" " xr:uid="{00000000-0002-0000-0200-000053040000}">
          <x14:formula1>
            <xm:f>1</xm:f>
          </x14:formula1>
          <x14:formula2>
            <xm:f>IF(OR('INPUTAN DESA ....'!F450="",'INPUTAN DESA ....'!F450=1),1,50)</xm:f>
          </x14:formula2>
          <xm:sqref>F1238</xm:sqref>
        </x14:dataValidation>
        <x14:dataValidation type="textLength" showInputMessage="1" showErrorMessage="1" promptTitle="Nama Ketua Bumdesa" prompt=" " xr:uid="{00000000-0002-0000-0200-000054040000}">
          <x14:formula1>
            <xm:f>1</xm:f>
          </x14:formula1>
          <x14:formula2>
            <xm:f>IF(OR('INPUTAN DESA ....'!F450="",'INPUTAN DESA ....'!F450=1),1,50)</xm:f>
          </x14:formula2>
          <xm:sqref>F1239</xm:sqref>
        </x14:dataValidation>
        <x14:dataValidation type="whole" showInputMessage="1" showErrorMessage="1" promptTitle="Total Anggota Bumdes" prompt=" " xr:uid="{00000000-0002-0000-0200-000055040000}">
          <x14:formula1>
            <xm:f>0</xm:f>
          </x14:formula1>
          <x14:formula2>
            <xm:f>IF(OR('INPUTAN DESA ....'!F450="",'INPUTAN DESA ....'!F450=1),0,100)</xm:f>
          </x14:formula2>
          <xm:sqref>F1242</xm:sqref>
        </x14:dataValidation>
        <x14:dataValidation type="textLength" showInputMessage="1" showErrorMessage="1" promptTitle="Nama Bendahara Bumdesa" prompt=" " xr:uid="{00000000-0002-0000-0200-000056040000}">
          <x14:formula1>
            <xm:f>1</xm:f>
          </x14:formula1>
          <x14:formula2>
            <xm:f>IF(OR('INPUTAN DESA ....'!F450="",'INPUTAN DESA ....'!F450=1),1,50)</xm:f>
          </x14:formula2>
          <xm:sqref>F1241</xm:sqref>
        </x14:dataValidation>
        <x14:dataValidation type="textLength" showInputMessage="1" showErrorMessage="1" promptTitle="Nama Sekretaris Bumdesa" prompt=" " xr:uid="{00000000-0002-0000-0200-000057040000}">
          <x14:formula1>
            <xm:f>1</xm:f>
          </x14:formula1>
          <x14:formula2>
            <xm:f>IF(OR('INPUTAN DESA ....'!F450="",'INPUTAN DESA ....'!F450=1),1,50)</xm:f>
          </x14:formula2>
          <xm:sqref>F1240</xm:sqref>
        </x14:dataValidation>
        <x14:dataValidation type="whole" showInputMessage="1" showErrorMessage="1" promptTitle="Tahun Pembentukan Bumdes" prompt="Input Menggunakan Angka" xr:uid="{00000000-0002-0000-0200-000058040000}">
          <x14:formula1>
            <xm:f>IF(OR('INPUTAN DESA ....'!F450="",'INPUTAN DESA ....'!F450=1),0,1990)</xm:f>
          </x14:formula1>
          <x14:formula2>
            <xm:f>IF(OR('INPUTAN DESA ....'!F450="",'INPUTAN DESA ....'!F450=1),0,2025)</xm:f>
          </x14:formula2>
          <xm:sqref>F1236</xm:sqref>
        </x14:dataValidation>
        <x14:dataValidation type="textLength" showInputMessage="1" showErrorMessage="1" error="Tidak Terdapat Bumdesa, diisi &quot; - &quot;._x000a_Cek Kuesioner Indeks Desa_x000a_Keberadaan Bumdes di Desa" promptTitle="Nama Bumdesa" prompt=" Jika Tidak Ada diisi &quot; - &quot;" xr:uid="{00000000-0002-0000-0200-000059040000}">
          <x14:formula1>
            <xm:f>1</xm:f>
          </x14:formula1>
          <x14:formula2>
            <xm:f>IF(OR('INPUTAN DESA ....'!F450=2,'INPUTAN DESA ....'!F450=""),1,50)</xm:f>
          </x14:formula2>
          <xm:sqref>F1186</xm:sqref>
        </x14:dataValidation>
        <x14:dataValidation type="textLength" showInputMessage="1" showErrorMessage="1" promptTitle="Nomor Perdes Pembentukan Bumdesa" prompt=" Jika Tidak Ada diisi tanda &quot; - &quot;" xr:uid="{00000000-0002-0000-0200-00005A040000}">
          <x14:formula1>
            <xm:f>1</xm:f>
          </x14:formula1>
          <x14:formula2>
            <xm:f>IF(OR('INPUTAN DESA ....'!F450="",'INPUTAN DESA ....'!F450=1),1,50)</xm:f>
          </x14:formula2>
          <xm:sqref>F1235</xm:sqref>
        </x14:dataValidation>
        <x14:dataValidation type="whole" showInputMessage="1" showErrorMessage="1" promptTitle="Total Tenaga Kerja Bumdes" prompt=" " xr:uid="{00000000-0002-0000-0200-00005B040000}">
          <x14:formula1>
            <xm:f>0</xm:f>
          </x14:formula1>
          <x14:formula2>
            <xm:f>IF(OR('INPUTAN DESA ....'!F450="",'INPUTAN DESA ....'!F450=1),0,100)</xm:f>
          </x14:formula2>
          <xm:sqref>F1237</xm:sqref>
        </x14:dataValidation>
        <x14:dataValidation type="textLength" showInputMessage="1" showErrorMessage="1" promptTitle="Alamat Email Bumdesa" prompt=" " xr:uid="{00000000-0002-0000-0200-00005C040000}">
          <x14:formula1>
            <xm:f>1</xm:f>
          </x14:formula1>
          <x14:formula2>
            <xm:f>IF(OR('INPUTAN DESA ....'!F450="",'INPUTAN DESA ....'!F450=1),1,50)</xm:f>
          </x14:formula2>
          <xm:sqref>F1244</xm:sqref>
        </x14:dataValidation>
        <x14:dataValidation type="whole" showInputMessage="1" showErrorMessage="1" error="Cek Kuesioner Indeks Desa._x000a_Ketersediaan Hotel/ Penginapan di Desa" promptTitle="Jlh Penginapan di Desa" prompt="(Unit)" xr:uid="{00000000-0002-0000-0200-00005D040000}">
          <x14:formula1>
            <xm:f>0</xm:f>
          </x14:formula1>
          <x14:formula2>
            <xm:f>IF(OR('INPUTAN DESA ....'!F438=1,'INPUTAN DESA ....'!F438=""),0,150)</xm:f>
          </x14:formula2>
          <xm:sqref>F1168</xm:sqref>
        </x14:dataValidation>
        <x14:dataValidation type="whole" showInputMessage="1" showErrorMessage="1" error="Cek Kuesioner Indeks Desa._x000a_Ketersediaan Kedai/Rumah Makan di Desa" promptTitle="Jlh Kedai/Rumah Makan di Desa" prompt="(Unit)" xr:uid="{00000000-0002-0000-0200-00005E040000}">
          <x14:formula1>
            <xm:f>0</xm:f>
          </x14:formula1>
          <x14:formula2>
            <xm:f>IF(OR('INPUTAN DESA ....'!F432=1,'INPUTAN DESA ....'!F432=""),0,150)</xm:f>
          </x14:formula2>
          <xm:sqref>F1166</xm:sqref>
        </x14:dataValidation>
        <x14:dataValidation type="whole" showInputMessage="1" showErrorMessage="1" error="Cek Kuesioner Indeks Desa._x000a_Ketersediaan kelompok Pertokoan di Desa" promptTitle="Jlh Toko/Warung Kelontong" prompt="(Unit)" xr:uid="{00000000-0002-0000-0200-00005F040000}">
          <x14:formula1>
            <xm:f>0</xm:f>
          </x14:formula1>
          <x14:formula2>
            <xm:f>IF(OR('INPUTAN DESA ....'!F426=1,'INPUTAN DESA ....'!F426=""),0,150)</xm:f>
          </x14:formula2>
          <xm:sqref>F1164</xm:sqref>
        </x14:dataValidation>
        <x14:dataValidation type="list" operator="lessThanOrEqual" showInputMessage="1" showErrorMessage="1" error="Cek di Kuesioner Indeks Desa._x000a_Ketersediaan Pasar di Desa" promptTitle="Jlh Pasar Permanen" prompt=" " xr:uid="{00000000-0002-0000-0200-000060040000}">
          <x14:formula1>
            <xm:f>IF(OR('INPUTAN DESA ....'!F419="",'INPUTAN DESA ....'!F419=1),nol,nollima)</xm:f>
          </x14:formula1>
          <xm:sqref>F1045</xm:sqref>
        </x14:dataValidation>
        <x14:dataValidation type="list" operator="lessThanOrEqual" showInputMessage="1" showErrorMessage="1" error="Cek di Kuesioner Indeks Desa._x000a_Ketersediaan Pasar di Desa" promptTitle="Jlh Pasar Semi Permanen" prompt="(Unit)" xr:uid="{00000000-0002-0000-0200-000061040000}">
          <x14:formula1>
            <xm:f>IF(OR('INPUTAN DESA ....'!F419=1,'INPUTAN DESA ....'!F419=""),nol,nollima)</xm:f>
          </x14:formula1>
          <xm:sqref>F1049</xm:sqref>
        </x14:dataValidation>
        <x14:dataValidation type="whole" showInputMessage="1" showErrorMessage="1" error="Cek di Kuesioner Indeks Desa._x000a_Keberadaan Pendidikan Non-Formal/ Pusat Keterampilan/ Kursus" promptTitle="Jlh Pst Kursus/Pelatihan Trampil" prompt=" " xr:uid="{00000000-0002-0000-0200-000062040000}">
          <x14:formula1>
            <xm:f>IF('INPUTAN DESA ....'!F414=5,1,0)</xm:f>
          </x14:formula1>
          <x14:formula2>
            <xm:f>IF(OR('INPUTAN DESA ....'!F414="",'INPUTAN DESA ....'!F414=1),0,10)</xm:f>
          </x14:formula2>
          <xm:sqref>F1043</xm:sqref>
        </x14:dataValidation>
        <x14:dataValidation type="list" showInputMessage="1" showErrorMessage="1" error="Cek Kuesioner Indeks Desa_x000a_Ketersediaan Fasilitas Perpustakaan Desa/ Taman Bacaan Masyarakat" promptTitle="Tingkat Kunjungan Perpustakaan" prompt="Tidak ada_x000a_1 : &lt;10 orang/hari_x000a_3 : 11-15 orang/hari_x000a_5: Lebih dari 15 orang/hari" xr:uid="{00000000-0002-0000-0200-000063040000}">
          <x14:formula1>
            <xm:f>IF(OR('INPUTAN DESA ....'!F376=1,'INPUTAN DESA ....'!F376=""),tidakada,satutigalima)</xm:f>
          </x14:formula1>
          <xm:sqref>F750</xm:sqref>
        </x14:dataValidation>
        <x14:dataValidation type="list" showInputMessage="1" showErrorMessage="1" error="Cek Kuesioner Indeks Desa_x000a_Ketersediaan Fasilitas Perpustakaan Desa/ Taman Bacaan Masyarakat" promptTitle="Manfaat Fasilitas Perpustakaan" prompt="Ada_x000a_Tidak" xr:uid="{00000000-0002-0000-0200-000064040000}">
          <x14:formula1>
            <xm:f>IF(OR('INPUTAN DESA ....'!F375="",'INPUTAN DESA ....'!F375=1),tidakada,adatidak)</xm:f>
          </x14:formula1>
          <xm:sqref>F749</xm:sqref>
        </x14:dataValidation>
        <x14:dataValidation type="list" showInputMessage="1" showErrorMessage="1" error="Cek Kuesioner Indeks Desa_x000a_Penyelesaian Konflik Secara Damai" promptTitle="Adanya Mediator yang Menangani" prompt="Ada_x000a_Tidak Ada" xr:uid="{00000000-0002-0000-0200-000065040000}">
          <x14:formula1>
            <xm:f>IF(OR('INPUTAN DESA ....'!F365=1,'INPUTAN DESA ....'!F365=""),tidakada,adatidak)</xm:f>
          </x14:formula1>
          <xm:sqref>F732</xm:sqref>
        </x14:dataValidation>
        <x14:dataValidation type="whole" showInputMessage="1" showErrorMessage="1" error="Cek Kuesioner Indeks Desa._x000a_Kejadian Konflik antar Agama di Desa" promptTitle="Jlh Kejadian Konfik" prompt="Antar Agama_x000a_Jika tidak ada diisi &quot; 0 &quot;" xr:uid="{00000000-0002-0000-0200-000066040000}">
          <x14:formula1>
            <xm:f>IF('INPUTAN DESA ....'!F356="Ada",1,0)</xm:f>
          </x14:formula1>
          <x14:formula2>
            <xm:f>IF(OR('INPUTAN DESA ....'!F356="",'INPUTAN DESA ....'!F356="tidak ada"),0,50)</xm:f>
          </x14:formula2>
          <xm:sqref>F729</xm:sqref>
        </x14:dataValidation>
        <x14:dataValidation type="whole" showInputMessage="1" showErrorMessage="1" error="Cek Kuesioner Indeks Desa._x000a_Kejadian Konflik antar Suku di Desa" promptTitle="Jlh Kejadian Konfik" prompt="Antar Suku_x000a_Jika tidak ada diisi &quot; 0 &quot;" xr:uid="{00000000-0002-0000-0200-000067040000}">
          <x14:formula1>
            <xm:f>IF('INPUTAN DESA ....'!F355="Ada",1,0)</xm:f>
          </x14:formula1>
          <x14:formula2>
            <xm:f>IF(OR('INPUTAN DESA ....'!F355="",'INPUTAN DESA ....'!F355="tidak ada"),0,50)</xm:f>
          </x14:formula2>
          <xm:sqref>F728</xm:sqref>
        </x14:dataValidation>
        <x14:dataValidation type="whole" showInputMessage="1" showErrorMessage="1" error="Cek Kuesioner Indeks Desa._x000a_Kejadian Konflik antar Pelajar/ Mahasiswa/ Pemuda di Desa" promptTitle="Jlh Kejadian Konfik" prompt="Antar Pelajar/Mahasiswa/Pemuda_x000a_Jika tidak ada diisi &quot; 0 &quot;" xr:uid="{00000000-0002-0000-0200-000068040000}">
          <x14:formula1>
            <xm:f>IF('INPUTAN DESA ....'!F354="Ada",1,0)</xm:f>
          </x14:formula1>
          <x14:formula2>
            <xm:f>IF(OR('INPUTAN DESA ....'!F354="",'INPUTAN DESA ....'!F354="tidak ada"),0,50)</xm:f>
          </x14:formula2>
          <xm:sqref>F727</xm:sqref>
        </x14:dataValidation>
        <x14:dataValidation type="whole" showInputMessage="1" showErrorMessage="1" error="Cek Kuesioner Indeks Desa._x000a_Kejadian Konflik antar Kelompok Masyarakat dengan Aparat Pemerintah di Desa" promptTitle="Jlh Kejadian Konfik" prompt="Antara Kelompok Masyarakat dengan Aparat Pemerintah_x000a_Jika tidak ada diisi &quot; 0 &quot;" xr:uid="{00000000-0002-0000-0200-000069040000}">
          <x14:formula1>
            <xm:f>IF('INPUTAN DESA ....'!F353="Ada",1,0)</xm:f>
          </x14:formula1>
          <x14:formula2>
            <xm:f>IF(OR('INPUTAN DESA ....'!F353="",'INPUTAN DESA ....'!F353="tidak ada"),0,50)</xm:f>
          </x14:formula2>
          <xm:sqref>F726</xm:sqref>
        </x14:dataValidation>
        <x14:dataValidation type="whole" showInputMessage="1" showErrorMessage="1" error="Cek Kuesioner Indeks Desa._x000a_Kejadian Konflik Kelompok Masyarakat di Desa" promptTitle="Jlh Kejadian Konfik" prompt="Kelompok Masyarakat Antar Desa_x000a_Jika tidak ada diisi &quot; 0 &quot;" xr:uid="{00000000-0002-0000-0200-00006A040000}">
          <x14:formula1>
            <xm:f>IF('INPUTAN DESA ....'!F351="Ada",1,0)</xm:f>
          </x14:formula1>
          <x14:formula2>
            <xm:f>IF(OR('INPUTAN DESA ....'!F351="",'INPUTAN DESA ....'!F351="tidak ada"),0,50)</xm:f>
          </x14:formula2>
          <xm:sqref>F724</xm:sqref>
        </x14:dataValidation>
        <x14:dataValidation type="whole" showInputMessage="1" showErrorMessage="1" error="Cek Kuesioner Indeks Desa._x000a_Kejadian Konflik Lainnya di Desa" promptTitle="Jlh Kejadian Konfik Lainnya" prompt="Antar Kelompok Masyarakat_x000a_Jika tidak ada diisi &quot; 0 &quot;" xr:uid="{00000000-0002-0000-0200-00006B040000}">
          <x14:formula1>
            <xm:f>0</xm:f>
          </x14:formula1>
          <x14:formula2>
            <xm:f>IF(OR('INPUTAN DESA ....'!F349="",'INPUTAN DESA ....'!F349="tidak ada"),0,50)</xm:f>
          </x14:formula2>
          <xm:sqref>F730</xm:sqref>
        </x14:dataValidation>
        <x14:dataValidation type="whole" showInputMessage="1" showErrorMessage="1" error="Cek Kuesioner Indeks Desa._x000a_Kejadian Konflik antar Kelompok di Desa" promptTitle="Jlh Kejadian Konfik" prompt="Antar Kelompok Masyarakat_x000a_Jika tidak ada diisi &quot; 0 &quot;" xr:uid="{00000000-0002-0000-0200-00006C040000}">
          <x14:formula1>
            <xm:f>IF('INPUTAN DESA ....'!F350="Ada",1,0)</xm:f>
          </x14:formula1>
          <x14:formula2>
            <xm:f>IF(OR('INPUTAN DESA ....'!F350="",'INPUTAN DESA ....'!F350="tidak ada"),0,50)</xm:f>
          </x14:formula2>
          <xm:sqref>F723</xm:sqref>
        </x14:dataValidation>
        <x14:dataValidation type="whole" showInputMessage="1" showErrorMessage="1" error="Tidak lebih dari Jumlah Rumah di Desa._x000a_CEK Kuesioner Indeks Desa" promptTitle="Jumlah Rumah Homestay di Desa" prompt="(Diisi Angka)_x000a_Jika Tidak ada diisi &quot; 0 &quot;" xr:uid="{00000000-0002-0000-0200-00006D040000}">
          <x14:formula1>
            <xm:f>0</xm:f>
          </x14:formula1>
          <x14:formula2>
            <xm:f>IF(OR('INPUTAN DESA ....'!F124="",'INPUTAN DESA ....'!F124=0),0,'INPUTAN DESA ....'!F124)</xm:f>
          </x14:formula2>
          <xm:sqref>F689</xm:sqref>
        </x14:dataValidation>
        <x14:dataValidation type="list" showInputMessage="1" showErrorMessage="1" error="Cek Kuesioner Indeks Desa._x000a_Ketersediaan Kedai/Rumah Makan di Desa" promptTitle="Jlh Pemilik Toko/Warung di Desa" prompt="Tidak Ada_x000a_&lt;50_x000a_50 - 100_x000a_100 - 200_x000a_&gt;200" xr:uid="{00000000-0002-0000-0200-00006E040000}">
          <x14:formula1>
            <xm:f>IF(OR('INPUTAN DESA ....'!F432=1,'INPUTAN DESA ....'!F432=""),tidakada,pedagang)</xm:f>
          </x14:formula1>
          <xm:sqref>F1167</xm:sqref>
        </x14:dataValidation>
        <x14:dataValidation type="list" showInputMessage="1" showErrorMessage="1" error="Cek Kuesioner Indeks Desa._x000a_Ketersediaan Hotel/ Penginapan di Desa" promptTitle="Jlh Pemilik Toko/Warung di Desa" prompt="Tidak Ada_x000a_&lt;50_x000a_50 - 100_x000a_100 - 200_x000a_&gt;200" xr:uid="{00000000-0002-0000-0200-00006F040000}">
          <x14:formula1>
            <xm:f>IF(OR('INPUTAN DESA ....'!F438=1,'INPUTAN DESA ....'!F438=""),tidakada,pedagang)</xm:f>
          </x14:formula1>
          <xm:sqref>F1169</xm:sqref>
        </x14:dataValidation>
        <x14:dataValidation type="list" showInputMessage="1" showErrorMessage="1" error="Cek Kuesioner Indeks Desa._x000a_Ketersediaan kelompok Pertokoan di Desa" promptTitle="Jlh Pemilik Toko/Warung di Desa" prompt="Tidak Ada_x000a_&lt;50_x000a_50 - 100_x000a_100 - 200_x000a_&gt;200" xr:uid="{00000000-0002-0000-0200-000070040000}">
          <x14:formula1>
            <xm:f>IF(OR('INPUTAN DESA ....'!F426=1,'INPUTAN DESA ....'!F426=""),tidakada,pedagang)</xm:f>
          </x14:formula1>
          <xm:sqref>F1165</xm:sqref>
        </x14:dataValidation>
        <x14:dataValidation type="list" showInputMessage="1" showErrorMessage="1" error="Cek Kuesioner Indeks Desa._x000a_Alamat Website Desa (diisi Lengkap &amp; Jelas)" promptTitle="Website Desa" prompt="Desa Memiliki Sarana Informasi Website Desa_x000a_Ada_x000a_Tidak Ada" xr:uid="{00000000-0002-0000-0200-000071040000}">
          <x14:formula1>
            <xm:f>IF(OR(LEN('INPUTAN DESA ....'!F43)=0,LEN('INPUTAN DESA ....'!F43)&lt;10),tidakada,adatidak)</xm:f>
          </x14:formula1>
          <xm:sqref>F675</xm:sqref>
        </x14:dataValidation>
        <x14:dataValidation type="whole" showInputMessage="1" showErrorMessage="1" error="Cek Kuesioner Indeks Desa._x000a_Tidak lebih dari Jumlah Rumah di Desa" promptTitle="Jlh Rumah di Desa Pakai Internet" prompt="diisi angka" xr:uid="{00000000-0002-0000-0200-000072040000}">
          <x14:formula1>
            <xm:f>0</xm:f>
          </x14:formula1>
          <x14:formula2>
            <xm:f>IF(OR('INPUTAN DESA ....'!F124="",'INPUTAN DESA ....'!F124=0),0,'INPUTAN DESA ....'!F124)</xm:f>
          </x14:formula2>
          <xm:sqref>F636</xm:sqref>
        </x14:dataValidation>
        <x14:dataValidation type="whole" operator="lessThanOrEqual" showInputMessage="1" showErrorMessage="1" promptTitle="Jarak Tower Terdekat" prompt="Input Menggunakan Angka" xr:uid="{00000000-0002-0000-0200-000073040000}">
          <x14:formula1>
            <xm:f>IF(SUM($F$1254:$F$1255)&lt;='INPUTAN DESA ....'!F122,'INPUTAN DESA ....'!F122,0)</xm:f>
          </x14:formula1>
          <xm:sqref>F681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79998168889431442"/>
    <outlinePr summaryBelow="0" summaryRight="0"/>
  </sheetPr>
  <dimension ref="A2:M200"/>
  <sheetViews>
    <sheetView zoomScale="80" zoomScaleNormal="80" workbookViewId="0">
      <pane xSplit="3" ySplit="3" topLeftCell="D20" activePane="bottomRight" state="frozen"/>
      <selection pane="topRight" activeCell="D1" sqref="D1"/>
      <selection pane="bottomLeft" activeCell="A4" sqref="A4"/>
      <selection pane="bottomRight" activeCell="E31" sqref="E31"/>
    </sheetView>
  </sheetViews>
  <sheetFormatPr defaultColWidth="14.42578125" defaultRowHeight="15" x14ac:dyDescent="0.25"/>
  <cols>
    <col min="1" max="1" width="3.140625" style="65" customWidth="1"/>
    <col min="2" max="2" width="3.42578125" style="65" customWidth="1"/>
    <col min="3" max="3" width="83" style="65" customWidth="1"/>
    <col min="4" max="4" width="13.5703125" style="86" customWidth="1"/>
    <col min="5" max="5" width="70.7109375" style="86" bestFit="1" customWidth="1"/>
    <col min="6" max="6" width="75.7109375" style="86" customWidth="1"/>
    <col min="7" max="8" width="13.42578125" style="86" customWidth="1"/>
    <col min="9" max="11" width="19.85546875" style="96" customWidth="1"/>
    <col min="12" max="13" width="19.85546875" style="91" customWidth="1"/>
    <col min="14" max="16384" width="14.42578125" style="65"/>
  </cols>
  <sheetData>
    <row r="2" spans="1:13" ht="31.5" customHeight="1" x14ac:dyDescent="0.25">
      <c r="A2" s="1023" t="s">
        <v>1443</v>
      </c>
      <c r="B2" s="1024"/>
      <c r="C2" s="1016" t="s">
        <v>1444</v>
      </c>
      <c r="D2" s="1018" t="s">
        <v>239</v>
      </c>
      <c r="E2" s="1018" t="s">
        <v>1445</v>
      </c>
      <c r="F2" s="1020" t="s">
        <v>1446</v>
      </c>
      <c r="G2" s="1020" t="s">
        <v>1447</v>
      </c>
      <c r="H2" s="1020" t="s">
        <v>1448</v>
      </c>
      <c r="I2" s="1022" t="s">
        <v>1449</v>
      </c>
      <c r="J2" s="1022"/>
      <c r="K2" s="1022"/>
      <c r="L2" s="1022"/>
      <c r="M2" s="1022"/>
    </row>
    <row r="3" spans="1:13" ht="15.75" x14ac:dyDescent="0.25">
      <c r="A3" s="1025"/>
      <c r="B3" s="1026"/>
      <c r="C3" s="1017"/>
      <c r="D3" s="1019"/>
      <c r="E3" s="1019"/>
      <c r="F3" s="1021"/>
      <c r="G3" s="1021"/>
      <c r="H3" s="1021"/>
      <c r="I3" s="164" t="s">
        <v>1450</v>
      </c>
      <c r="J3" s="164" t="s">
        <v>1451</v>
      </c>
      <c r="K3" s="164" t="s">
        <v>1452</v>
      </c>
      <c r="L3" s="164" t="s">
        <v>1453</v>
      </c>
      <c r="M3" s="164" t="s">
        <v>556</v>
      </c>
    </row>
    <row r="4" spans="1:13" ht="19.899999999999999" customHeight="1" x14ac:dyDescent="0.25">
      <c r="A4" s="1014">
        <v>1</v>
      </c>
      <c r="B4" s="1027"/>
      <c r="C4" s="152" t="s">
        <v>248</v>
      </c>
      <c r="D4" s="60">
        <f>SUM(D5,D19,D47)</f>
        <v>86</v>
      </c>
      <c r="E4" s="67"/>
      <c r="F4" s="68"/>
      <c r="G4" s="68"/>
      <c r="H4" s="68"/>
      <c r="I4" s="165"/>
      <c r="J4" s="165"/>
      <c r="K4" s="165"/>
      <c r="L4" s="166"/>
      <c r="M4" s="167"/>
    </row>
    <row r="5" spans="1:13" ht="19.899999999999999" customHeight="1" x14ac:dyDescent="0.25">
      <c r="A5" s="1014" t="s">
        <v>1454</v>
      </c>
      <c r="B5" s="1027"/>
      <c r="C5" s="152" t="s">
        <v>249</v>
      </c>
      <c r="D5" s="60">
        <f>SUM(D6,D10,D13,D16)</f>
        <v>19</v>
      </c>
      <c r="E5" s="69"/>
      <c r="F5" s="70"/>
      <c r="G5" s="70"/>
      <c r="H5" s="70"/>
      <c r="I5" s="168"/>
      <c r="J5" s="168"/>
      <c r="K5" s="168"/>
      <c r="L5" s="169"/>
      <c r="M5" s="170"/>
    </row>
    <row r="6" spans="1:13" ht="19.899999999999999" customHeight="1" x14ac:dyDescent="0.25">
      <c r="A6" s="1014">
        <v>1</v>
      </c>
      <c r="B6" s="1027"/>
      <c r="C6" s="153" t="s">
        <v>1455</v>
      </c>
      <c r="D6" s="60">
        <f>SUM(D7,D8,D9)</f>
        <v>8</v>
      </c>
      <c r="E6" s="71"/>
      <c r="F6" s="72"/>
      <c r="G6" s="72"/>
      <c r="H6" s="72"/>
      <c r="I6" s="171"/>
      <c r="J6" s="171"/>
      <c r="K6" s="171"/>
      <c r="L6" s="172"/>
      <c r="M6" s="173"/>
    </row>
    <row r="7" spans="1:13" s="73" customFormat="1" ht="45" x14ac:dyDescent="0.25">
      <c r="A7" s="154"/>
      <c r="B7" s="155" t="s">
        <v>41</v>
      </c>
      <c r="C7" s="156" t="s">
        <v>1456</v>
      </c>
      <c r="D7" s="61">
        <f>'INPUTAN DESA ....'!F171</f>
        <v>2</v>
      </c>
      <c r="E7" s="61" t="str">
        <f>IF(D7=1,"Tidak Ada PAUD/TK/Sederajat",
IF(D7=2,"Terdapat 1 PAUD/TK/Sederajat",
IF(D7=3,"Terdapat 2 PAUD/TK/Sederajat",
IF(D7=4,"Terdapat 3-4 PAUD/TK/Sederajat",
IF(D7=5,"Terdapat &gt;=5 PAUD/TK/Sederajat","Tidak Teridentifikasi")))))</f>
        <v>Terdapat 1 PAUD/TK/Sederajat</v>
      </c>
      <c r="F7" s="61" t="str">
        <f>IF(D7=1,"Perlu menyediakan PAUD/TK/Sederajat sebanyak 5",
IF(D7=2,"Perlu penambahan PAUD/TK/Sederajat sebanyak 4",
IF(D7=3,"Perlu penambahan PAUD/TK/Sederajat sebanyak 3",
IF(D7=4,"Perlu penambahan PAUD/TK/Sederajat sebanyak 1",
IF(D7=5,"")))))</f>
        <v>Perlu penambahan PAUD/TK/Sederajat sebanyak 4</v>
      </c>
      <c r="G7" s="61"/>
      <c r="H7" s="61"/>
      <c r="I7" s="174" t="s">
        <v>1457</v>
      </c>
      <c r="J7" s="174" t="s">
        <v>1458</v>
      </c>
      <c r="K7" s="174" t="s">
        <v>1459</v>
      </c>
      <c r="L7" s="175" t="s">
        <v>1460</v>
      </c>
      <c r="M7" s="176" t="s">
        <v>167</v>
      </c>
    </row>
    <row r="8" spans="1:13" s="73" customFormat="1" ht="45" x14ac:dyDescent="0.25">
      <c r="A8" s="154"/>
      <c r="B8" s="155" t="s">
        <v>139</v>
      </c>
      <c r="C8" s="156" t="s">
        <v>1461</v>
      </c>
      <c r="D8" s="61">
        <f>'INPUTAN DESA ....'!F176</f>
        <v>5</v>
      </c>
      <c r="E8" s="61" t="str">
        <f>IF(D8=1,"Akses Menuju PAUD/TK/Sederajat Sangat Sulit",
IF(D8=2,"Akses Menuju PAUD/TK/Sederajat Sulit",
IF(D8=3,"Akses Menuju PAUD/TK/Sederajat Sedang",
IF(D8=4,"Akses Menuju PAUD/TK/Sederajat Mudah",
IF(D8=5,"Akses Menuju PAUD/TK/Sederajat Sangat Mudah","Tidak Teridentifikasi")))))</f>
        <v>Akses Menuju PAUD/TK/Sederajat Sangat Mudah</v>
      </c>
      <c r="F8" s="61" t="str">
        <f>IF(OR(D8=4,D8=3,D8=2,D8=1),"Perlu pembangunan PAUD/TK/Sederajat",
IF(D8=5,"","Tidak Teridentifikasi"))</f>
        <v/>
      </c>
      <c r="G8" s="61"/>
      <c r="H8" s="61"/>
      <c r="I8" s="174" t="s">
        <v>1457</v>
      </c>
      <c r="J8" s="174" t="s">
        <v>1458</v>
      </c>
      <c r="K8" s="174" t="s">
        <v>1459</v>
      </c>
      <c r="L8" s="175" t="s">
        <v>1460</v>
      </c>
      <c r="M8" s="176" t="s">
        <v>167</v>
      </c>
    </row>
    <row r="9" spans="1:13" s="73" customFormat="1" ht="45" x14ac:dyDescent="0.25">
      <c r="A9" s="157"/>
      <c r="B9" s="155" t="s">
        <v>251</v>
      </c>
      <c r="C9" s="156" t="s">
        <v>1462</v>
      </c>
      <c r="D9" s="61">
        <f>'INPUTAN DESA ....'!F179</f>
        <v>1</v>
      </c>
      <c r="E9" s="61" t="str">
        <f>IF(D9=1,"Angka Partisipasi Murni (APM) 0-20%",
IF(D9=2,"Angka Partisipasi Murni (APM) &gt;20-40%",
IF(D9=3,"Angka Partisipasi Murni (APM) &gt;40-60%",
IF(D9=4,"Angka Partisipasi Murni (APM) &gt;60-80%",
IF(D9=5,"Angka Partisipasi Murni (APM) &gt;80-100%","Tidak Teridentifikasi")))))</f>
        <v>Angka Partisipasi Murni (APM) 0-20%</v>
      </c>
      <c r="F9" s="61" t="str">
        <f>IF(D9=1,"APM 0-20%, Perlu partisipasi anak usia 3-6 tahun bersekolah PAUD/TK/Seserajat",
IF(D9=2,"APM &gt;20-40%, Perlu partisipasi anak usia 3-6 tahun bersekolah PAUD/TK/Seserajat",
IF(D9=3,"APM &gt;40-60%, Perlu partisipasi anak usia 3-6 tahun bersekolah PAUD/TK/Seserajat",
IF(D9=4,"APM &gt;60-80%, Perlu partisipasi anak usia 3-6 tahun bersekolah PAUD/TK/Seserajat",
IF(D9=5,"","Tidak Teridentifikasi")))))</f>
        <v>APM 0-20%, Perlu partisipasi anak usia 3-6 tahun bersekolah PAUD/TK/Seserajat</v>
      </c>
      <c r="G9" s="61"/>
      <c r="H9" s="61"/>
      <c r="I9" s="174" t="s">
        <v>1457</v>
      </c>
      <c r="J9" s="174" t="s">
        <v>1458</v>
      </c>
      <c r="K9" s="174" t="s">
        <v>1459</v>
      </c>
      <c r="L9" s="175" t="s">
        <v>1460</v>
      </c>
      <c r="M9" s="176" t="s">
        <v>167</v>
      </c>
    </row>
    <row r="10" spans="1:13" ht="19.899999999999999" customHeight="1" x14ac:dyDescent="0.25">
      <c r="A10" s="1014">
        <v>2</v>
      </c>
      <c r="B10" s="1015"/>
      <c r="C10" s="158" t="s">
        <v>1463</v>
      </c>
      <c r="D10" s="60">
        <f>SUM(D11,D12)</f>
        <v>6</v>
      </c>
      <c r="E10" s="66"/>
      <c r="F10" s="74"/>
      <c r="G10" s="74"/>
      <c r="H10" s="74"/>
      <c r="I10" s="177"/>
      <c r="J10" s="177"/>
      <c r="K10" s="177"/>
      <c r="L10" s="178"/>
      <c r="M10" s="179"/>
    </row>
    <row r="11" spans="1:13" s="73" customFormat="1" ht="45" x14ac:dyDescent="0.25">
      <c r="A11" s="154"/>
      <c r="B11" s="155" t="s">
        <v>41</v>
      </c>
      <c r="C11" s="156" t="s">
        <v>1464</v>
      </c>
      <c r="D11" s="61">
        <f>'INPUTAN DESA ....'!F187</f>
        <v>2</v>
      </c>
      <c r="E11" s="61" t="str">
        <f>IF(D11=1,"Akses Menuju SD/MI/Sederajat Sangat Sulit",
IF(D11=2,"Akses Menuju SD/MI/Sederajat Sulit",
IF(D11=3,"Akses Menuju SD/MI/Sederajat Sedang",
IF(D11=4,"Akses Menuju SD/MI/Sederajat Mudah",
IF(D11=5,"Akses Menuju SD/MI/Sederajat Sangat Mudah","Tidak Teridentifikasi")))))</f>
        <v>Akses Menuju SD/MI/Sederajat Sulit</v>
      </c>
      <c r="F11" s="61" t="str">
        <f>IF(OR(D11=4,D11=3,D11=2,D11=1),"Perlu pembangunan SD/MI/Sederajat",
IF(D11=5,"","Tidak Teridentifikasi"))</f>
        <v>Perlu pembangunan SD/MI/Sederajat</v>
      </c>
      <c r="G11" s="61"/>
      <c r="H11" s="61"/>
      <c r="I11" s="174" t="s">
        <v>1457</v>
      </c>
      <c r="J11" s="174" t="s">
        <v>1458</v>
      </c>
      <c r="K11" s="174" t="s">
        <v>1459</v>
      </c>
      <c r="L11" s="175" t="s">
        <v>1460</v>
      </c>
      <c r="M11" s="176" t="s">
        <v>167</v>
      </c>
    </row>
    <row r="12" spans="1:13" s="73" customFormat="1" ht="45" x14ac:dyDescent="0.25">
      <c r="A12" s="157"/>
      <c r="B12" s="155" t="s">
        <v>139</v>
      </c>
      <c r="C12" s="156" t="s">
        <v>1465</v>
      </c>
      <c r="D12" s="61">
        <f>'INPUTAN DESA ....'!F190</f>
        <v>4</v>
      </c>
      <c r="E12" s="61" t="str">
        <f>IF(D12=1,"Angka Partisipasi Murni (APM) 0-20%",
IF(D12=2,"Angka Partisipasi Murni (APM) &gt;20-40%",
IF(D12=3,"Angka Partisipasi Murni (APM) &gt;40-60%",
IF(D12=4,"Angka Partisipasi Murni (APM) &gt;60-80%",
IF(D12=5,"Angka Partisipasi Murni (APM) &gt;80-100%","Tidak Teridentifikasi")))))</f>
        <v>Angka Partisipasi Murni (APM) &gt;60-80%</v>
      </c>
      <c r="F12" s="61" t="str">
        <f>IF(D12=1,"APM 0-20%, Perlu partisipasi anak usia 7-12 tahun bersekolah SD/MI/Seserajat",
IF(D12=2,"APM &gt;20-40%, Perlu partisipasi anak usia 7-12 tahun bersekolah SD/MI/Seserajat",
IF(D12=3,"APM &gt;40-60%, Perlu partisipasi anak usia 7-12 tahun bersekolah SD/MI/Seserajat",
IF(D12=4,"APM &gt;60-80%, Perlu partisipasi anak usia 7-12 tahun bersekolah SD/MI/Seserajat",
IF(D12=5,"","Tidak Teridentifikasi")))))</f>
        <v>APM &gt;60-80%, Perlu partisipasi anak usia 7-12 tahun bersekolah SD/MI/Seserajat</v>
      </c>
      <c r="G12" s="61"/>
      <c r="H12" s="61"/>
      <c r="I12" s="174" t="s">
        <v>1457</v>
      </c>
      <c r="J12" s="174" t="s">
        <v>1458</v>
      </c>
      <c r="K12" s="174" t="s">
        <v>1459</v>
      </c>
      <c r="L12" s="175" t="s">
        <v>1460</v>
      </c>
      <c r="M12" s="176" t="s">
        <v>167</v>
      </c>
    </row>
    <row r="13" spans="1:13" ht="19.899999999999999" customHeight="1" x14ac:dyDescent="0.25">
      <c r="A13" s="1014">
        <v>3</v>
      </c>
      <c r="B13" s="1015"/>
      <c r="C13" s="158" t="s">
        <v>1466</v>
      </c>
      <c r="D13" s="60">
        <f>SUM(D14,D15)</f>
        <v>2</v>
      </c>
      <c r="E13" s="66"/>
      <c r="F13" s="74"/>
      <c r="G13" s="74"/>
      <c r="H13" s="74"/>
      <c r="I13" s="177"/>
      <c r="J13" s="177"/>
      <c r="K13" s="177"/>
      <c r="L13" s="178"/>
      <c r="M13" s="179"/>
    </row>
    <row r="14" spans="1:13" s="73" customFormat="1" ht="45" x14ac:dyDescent="0.25">
      <c r="A14" s="154"/>
      <c r="B14" s="155" t="s">
        <v>41</v>
      </c>
      <c r="C14" s="156" t="s">
        <v>1467</v>
      </c>
      <c r="D14" s="61">
        <f>'INPUTAN DESA ....'!F198</f>
        <v>1</v>
      </c>
      <c r="E14" s="61" t="str">
        <f>IF(D14=1,"Akses Menuju SMP/MTs/Sederajat Sangat Sulit",
IF(D14=2,"Akses Menuju SMP/MTs/Sederajat Sulit",
IF(D14=3,"Akses Menuju SMP/MTs/Sederajat Sedang",
IF(D14=4,"Akses Menuju SMP/MTs/Sederajat Mudah",
IF(D14=5,"Akses Menuju SMP/MTs/Sederajat Sangat Mudah","Tidak Teridentifikasi")))))</f>
        <v>Akses Menuju SMP/MTs/Sederajat Sangat Sulit</v>
      </c>
      <c r="F14" s="61" t="str">
        <f>IF(OR(D14=4,D14=3,D14=2,D14=1),"Perlu pembangunan SMP/MTs/Sederajat",
IF(D14=5,"","Tidak Teridentifikasi"))</f>
        <v>Perlu pembangunan SMP/MTs/Sederajat</v>
      </c>
      <c r="G14" s="61"/>
      <c r="H14" s="61"/>
      <c r="I14" s="174" t="s">
        <v>1457</v>
      </c>
      <c r="J14" s="174" t="s">
        <v>1458</v>
      </c>
      <c r="K14" s="174" t="s">
        <v>1468</v>
      </c>
      <c r="L14" s="175" t="s">
        <v>1460</v>
      </c>
      <c r="M14" s="176" t="s">
        <v>167</v>
      </c>
    </row>
    <row r="15" spans="1:13" s="73" customFormat="1" ht="45" x14ac:dyDescent="0.25">
      <c r="A15" s="157"/>
      <c r="B15" s="155" t="s">
        <v>139</v>
      </c>
      <c r="C15" s="156" t="s">
        <v>1469</v>
      </c>
      <c r="D15" s="61">
        <f>'INPUTAN DESA ....'!F201</f>
        <v>1</v>
      </c>
      <c r="E15" s="61" t="str">
        <f>IF(D15=1,"Angka Partisipasi Murni (APM) 0-20%",
IF(D15=2,"Angka Partisipasi Murni (APM) &gt;20-40%",
IF(D15=3,"Angka Partisipasi Murni (APM) &gt;40-60%",
IF(D15=4,"Angka Partisipasi Murni (APM) &gt;60-80%",
IF(D15=5,"Angka Partisipasi Murni (APM) &gt;80-100%","Tidak Teridentifikasi")))))</f>
        <v>Angka Partisipasi Murni (APM) 0-20%</v>
      </c>
      <c r="F15" s="61" t="str">
        <f>IF(D15=1,"APM 0-20%, Perlu partisipasi anak usia 13-15 tahun bersekolah SMP/MTs/Seserajat",
IF(D15=2,"APM &gt;20-40%, Perlu partisipasi anak usia 13-15 tahun bersekolah SMP/MTs/Seserajat",
IF(D15=3,"APM &gt;40-60%, Perlu partisipasi anak usia 13-15 tahun bersekolah SMP/MTs/Seserajat",
IF(D15=4,"APM &gt;60-80%, Perlu partisipasi anak usia 13-15 tahun bersekolah SMP/MTs/Seserajat",
IF(D15=5,"","Tidak Teridentifikasi")))))</f>
        <v>APM 0-20%, Perlu partisipasi anak usia 13-15 tahun bersekolah SMP/MTs/Seserajat</v>
      </c>
      <c r="G15" s="75"/>
      <c r="H15" s="75"/>
      <c r="I15" s="174" t="s">
        <v>1457</v>
      </c>
      <c r="J15" s="174" t="s">
        <v>1458</v>
      </c>
      <c r="K15" s="174" t="s">
        <v>1468</v>
      </c>
      <c r="L15" s="175" t="s">
        <v>1460</v>
      </c>
      <c r="M15" s="176" t="s">
        <v>167</v>
      </c>
    </row>
    <row r="16" spans="1:13" ht="19.899999999999999" customHeight="1" x14ac:dyDescent="0.25">
      <c r="A16" s="1014">
        <v>4</v>
      </c>
      <c r="B16" s="1015"/>
      <c r="C16" s="158" t="s">
        <v>1470</v>
      </c>
      <c r="D16" s="60">
        <f>SUM(D17,D18)</f>
        <v>3</v>
      </c>
      <c r="E16" s="66"/>
      <c r="F16" s="74"/>
      <c r="G16" s="74"/>
      <c r="H16" s="74"/>
      <c r="I16" s="177"/>
      <c r="J16" s="177"/>
      <c r="K16" s="177"/>
      <c r="L16" s="178"/>
      <c r="M16" s="179"/>
    </row>
    <row r="17" spans="1:13" s="73" customFormat="1" ht="45" x14ac:dyDescent="0.25">
      <c r="A17" s="154"/>
      <c r="B17" s="155" t="s">
        <v>41</v>
      </c>
      <c r="C17" s="156" t="s">
        <v>1471</v>
      </c>
      <c r="D17" s="61">
        <f>'INPUTAN DESA ....'!F209</f>
        <v>2</v>
      </c>
      <c r="E17" s="61" t="str">
        <f>IF(D17=1,"Akses Menuju SMA/SMK/MA/MAK/Sederajat Sangat Sulit",
IF(D17=2,"Akses Menuju SMA/SMK/MA/MAK/Sederajat Sulit",
IF(D17=3,"Akses Menuju SMA/SMK/MA/MAK/Sederajat Sedang",
IF(D17=4,"Akses Menuju SMA/SMK/MA/MAK/Sederajat Mudah",
IF(D17=5,"Akses Menuju SMA/SMK/MA/MAK/Sederajat Sangat Mudah","Tidak Teridentifikasi")))))</f>
        <v>Akses Menuju SMA/SMK/MA/MAK/Sederajat Sulit</v>
      </c>
      <c r="F17" s="61" t="str">
        <f>IF(OR(D17=4,D17=3,D17=2,D17=1),"Perlu pembangunan SMA/SMK/MA/MAK/Sederajat",
IF(D17=5,"","Tidak Teridentifikasi"))</f>
        <v>Perlu pembangunan SMA/SMK/MA/MAK/Sederajat</v>
      </c>
      <c r="G17" s="61"/>
      <c r="H17" s="61"/>
      <c r="I17" s="174" t="s">
        <v>1457</v>
      </c>
      <c r="J17" s="174" t="s">
        <v>1458</v>
      </c>
      <c r="K17" s="174" t="s">
        <v>1468</v>
      </c>
      <c r="L17" s="175" t="s">
        <v>1460</v>
      </c>
      <c r="M17" s="176" t="s">
        <v>167</v>
      </c>
    </row>
    <row r="18" spans="1:13" s="73" customFormat="1" ht="45" x14ac:dyDescent="0.25">
      <c r="A18" s="157"/>
      <c r="B18" s="155" t="s">
        <v>139</v>
      </c>
      <c r="C18" s="156" t="s">
        <v>1472</v>
      </c>
      <c r="D18" s="61">
        <f>'INPUTAN DESA ....'!F212</f>
        <v>1</v>
      </c>
      <c r="E18" s="61" t="str">
        <f>IF(D18=1,"Angka Partisipasi Murni (APM) 0-20%",
IF(D18=2,"Angka Partisipasi Murni (APM) &gt;20-40%",
IF(D18=3,"Angka Partisipasi Murni (APM) &gt;40-60%",
IF(D18=4,"Angka Partisipasi Murni (APM) &gt;60-80%",
IF(D18=5,"Angka Partisipasi Murni (APM) &gt;80-100%","Tidak Teridentifikasi")))))</f>
        <v>Angka Partisipasi Murni (APM) 0-20%</v>
      </c>
      <c r="F18" s="61" t="str">
        <f>IF(D18=1,"APM 0-20%, Perlu partisipasi anak usia 16-18 tahun bersekolah SMA/SMK/MA/MAK/Seserajat",
IF(D18=2,"APM &gt;20-40%, Perlu partisipasi anak usia 16-18 tahun bersekolah SMA/SMK/MA/MAK/Seserajat",
IF(D18=3,"APM &gt;40-60%, Perlu partisipasi anak usia 16-18 tahun bersekolah SMA/SMK/MA/MAK/Seserajat",
IF(D18=4,"APM &gt;60-80%, Perlu partisipasi anak usia 16-18 tahun bersekolah SMA/SMK/MA/MAK/Seserajat",
IF(D18=5,"","Tidak Teridentifikasi")))))</f>
        <v>APM 0-20%, Perlu partisipasi anak usia 16-18 tahun bersekolah SMA/SMK/MA/MAK/Seserajat</v>
      </c>
      <c r="G18" s="75"/>
      <c r="H18" s="75"/>
      <c r="I18" s="174" t="s">
        <v>1457</v>
      </c>
      <c r="J18" s="174" t="s">
        <v>1458</v>
      </c>
      <c r="K18" s="174" t="s">
        <v>1468</v>
      </c>
      <c r="L18" s="175" t="s">
        <v>1460</v>
      </c>
      <c r="M18" s="176" t="s">
        <v>167</v>
      </c>
    </row>
    <row r="19" spans="1:13" ht="19.899999999999999" customHeight="1" x14ac:dyDescent="0.25">
      <c r="A19" s="1014" t="s">
        <v>1473</v>
      </c>
      <c r="B19" s="1015"/>
      <c r="C19" s="153" t="s">
        <v>268</v>
      </c>
      <c r="D19" s="60">
        <f>SUM(D20,D22,D25,D29,D34,D39,D44)</f>
        <v>48</v>
      </c>
      <c r="E19" s="67"/>
      <c r="F19" s="68"/>
      <c r="G19" s="68"/>
      <c r="H19" s="68"/>
      <c r="I19" s="180"/>
      <c r="J19" s="180"/>
      <c r="K19" s="180"/>
      <c r="L19" s="181"/>
      <c r="M19" s="182"/>
    </row>
    <row r="20" spans="1:13" ht="19.899999999999999" customHeight="1" x14ac:dyDescent="0.25">
      <c r="A20" s="1014">
        <v>5</v>
      </c>
      <c r="B20" s="1015"/>
      <c r="C20" s="153" t="s">
        <v>269</v>
      </c>
      <c r="D20" s="60">
        <f>SUM(D21)</f>
        <v>3</v>
      </c>
      <c r="E20" s="71"/>
      <c r="F20" s="72"/>
      <c r="G20" s="72"/>
      <c r="H20" s="72"/>
      <c r="I20" s="183"/>
      <c r="J20" s="183"/>
      <c r="K20" s="183"/>
      <c r="L20" s="184"/>
      <c r="M20" s="185"/>
    </row>
    <row r="21" spans="1:13" s="73" customFormat="1" ht="30" x14ac:dyDescent="0.25">
      <c r="A21" s="154"/>
      <c r="B21" s="155" t="s">
        <v>41</v>
      </c>
      <c r="C21" s="156" t="s">
        <v>1474</v>
      </c>
      <c r="D21" s="61">
        <f>'INPUTAN DESA ....'!F225</f>
        <v>3</v>
      </c>
      <c r="E21" s="61" t="str">
        <f>IF(D21=1,"Akses Menuju Sarana Kesesahan Sangat Sulit",
IF(D21=2,"Akses Menuju Sarana Kesehatan Sulit",
IF(D21=3,"Akses Menuju Sarana Kesehatan Sedang",
IF(D21=4,"Akses Menuju Sarana Kesehatan Mudah",
IF(D21=5,"Akses Menuju Sarana Kesehatan Sangat Mudah","Tidak Teridentifikasi")))))</f>
        <v>Akses Menuju Sarana Kesehatan Sedang</v>
      </c>
      <c r="F21" s="61" t="str">
        <f>IF(OR(D21=4,D21=3,D21=2,D21=1),"Perlu pembangunan Sarana Kesehatan",
IF(D21=5,"","Tidak Teridentifikasi"))</f>
        <v>Perlu pembangunan Sarana Kesehatan</v>
      </c>
      <c r="G21" s="61"/>
      <c r="H21" s="61"/>
      <c r="I21" s="186" t="s">
        <v>1475</v>
      </c>
      <c r="J21" s="186" t="s">
        <v>1476</v>
      </c>
      <c r="K21" s="187" t="s">
        <v>1477</v>
      </c>
      <c r="L21" s="188" t="s">
        <v>1460</v>
      </c>
      <c r="M21" s="176" t="s">
        <v>167</v>
      </c>
    </row>
    <row r="22" spans="1:13" ht="19.899999999999999" customHeight="1" x14ac:dyDescent="0.25">
      <c r="A22" s="1014">
        <v>6</v>
      </c>
      <c r="B22" s="1015"/>
      <c r="C22" s="158" t="s">
        <v>1478</v>
      </c>
      <c r="D22" s="60">
        <f>SUM(D23,D24)</f>
        <v>8</v>
      </c>
      <c r="E22" s="66"/>
      <c r="F22" s="74"/>
      <c r="G22" s="74"/>
      <c r="H22" s="74"/>
      <c r="I22" s="177"/>
      <c r="J22" s="177"/>
      <c r="K22" s="177"/>
      <c r="L22" s="178"/>
      <c r="M22" s="179"/>
    </row>
    <row r="23" spans="1:13" s="73" customFormat="1" ht="30" x14ac:dyDescent="0.25">
      <c r="A23" s="157"/>
      <c r="B23" s="155" t="s">
        <v>41</v>
      </c>
      <c r="C23" s="156" t="s">
        <v>1479</v>
      </c>
      <c r="D23" s="62">
        <f>'INPUTAN DESA ....'!F234</f>
        <v>5</v>
      </c>
      <c r="E23" s="62" t="str">
        <f>IF(D23=1,"Tidak Ada Poskesdes/Polindes",
IF(D23=5,"Terdapat Poskesdes/Polindes","Tidak Teridentifikasi"))</f>
        <v>Terdapat Poskesdes/Polindes</v>
      </c>
      <c r="F23" s="61" t="str">
        <f>IF(D23=1,"Perlu Menyediakan Fasilitas Puskesmas Pembantu/Poskesdes/Polindes",
IF(D23=5,"","Tidak Teridentifikasi"))</f>
        <v/>
      </c>
      <c r="G23" s="61"/>
      <c r="H23" s="61"/>
      <c r="I23" s="186" t="s">
        <v>1475</v>
      </c>
      <c r="J23" s="186" t="s">
        <v>1476</v>
      </c>
      <c r="K23" s="187" t="s">
        <v>1477</v>
      </c>
      <c r="L23" s="188" t="s">
        <v>1460</v>
      </c>
      <c r="M23" s="176" t="s">
        <v>167</v>
      </c>
    </row>
    <row r="24" spans="1:13" s="73" customFormat="1" ht="30" x14ac:dyDescent="0.25">
      <c r="A24" s="154"/>
      <c r="B24" s="155" t="s">
        <v>139</v>
      </c>
      <c r="C24" s="156" t="s">
        <v>1480</v>
      </c>
      <c r="D24" s="61">
        <f>'INPUTAN DESA ....'!F238</f>
        <v>3</v>
      </c>
      <c r="E24" s="61" t="str">
        <f>IF(D24=1,"Akses Menuju Sarana Kesesahan Sangat Sulit",
IF(D24=2,"Akses Menuju Fasilitas Puskesmas Pembantu (Poskesdes/Polindes) Sulit",
IF(D24=3,"Akses Menuju Fasilitas Puskesmas Pembantu (Poskesdes/Polindes) Sedang",
IF(D24=4,"Akses Menuju Fasilitas Puskesmas Pembantu (Poskesdes/Polindes) Mudah",
IF(D24=5,"Akses Menuju Fasilitas Puskesmas Pembantu (Poskesdes/Polindes) Sangat Mudah","Tidak Teridentifikasi")))))</f>
        <v>Akses Menuju Fasilitas Puskesmas Pembantu (Poskesdes/Polindes) Sedang</v>
      </c>
      <c r="F24" s="61" t="str">
        <f>IF(OR(D24=4,D24=3,D24=2,D24=1),"Perlu Menyediakan Kemudahan Akses Fasilitas Puskesmas Pembantu/Poskesdes/Polindes",
IF(D24=5,"","Tidak Teridentifikasi"))</f>
        <v>Perlu Menyediakan Kemudahan Akses Fasilitas Puskesmas Pembantu/Poskesdes/Polindes</v>
      </c>
      <c r="G24" s="61"/>
      <c r="H24" s="61"/>
      <c r="I24" s="186" t="s">
        <v>1475</v>
      </c>
      <c r="J24" s="186" t="s">
        <v>1476</v>
      </c>
      <c r="K24" s="187" t="s">
        <v>1477</v>
      </c>
      <c r="L24" s="188" t="s">
        <v>1460</v>
      </c>
      <c r="M24" s="176" t="s">
        <v>167</v>
      </c>
    </row>
    <row r="25" spans="1:13" ht="19.899999999999999" customHeight="1" x14ac:dyDescent="0.25">
      <c r="A25" s="1011">
        <v>7</v>
      </c>
      <c r="B25" s="1012"/>
      <c r="C25" s="158" t="s">
        <v>275</v>
      </c>
      <c r="D25" s="60">
        <f>SUM(D26,D27,D28)</f>
        <v>13</v>
      </c>
      <c r="E25" s="66"/>
      <c r="F25" s="74"/>
      <c r="G25" s="74"/>
      <c r="H25" s="74"/>
      <c r="I25" s="177"/>
      <c r="J25" s="177"/>
      <c r="K25" s="177"/>
      <c r="L25" s="178"/>
      <c r="M25" s="179"/>
    </row>
    <row r="26" spans="1:13" s="73" customFormat="1" ht="30" x14ac:dyDescent="0.25">
      <c r="A26" s="159"/>
      <c r="B26" s="160" t="s">
        <v>41</v>
      </c>
      <c r="C26" s="156" t="s">
        <v>1481</v>
      </c>
      <c r="D26" s="62">
        <f>'INPUTAN DESA ....'!F240</f>
        <v>5</v>
      </c>
      <c r="E26" s="62" t="str">
        <f>IF(D26=1,"Tidak Ada Posyandu",
IF(D26=5,"Terdapat Posyandu","Tidak Teridentifikasi"))</f>
        <v>Terdapat Posyandu</v>
      </c>
      <c r="F26" s="61" t="str">
        <f>IF(D26=1,"Perlu Menyediakan Fasilitas Posyandu",
IF(D26=5,"","Tidak Teridentifikasi"))</f>
        <v/>
      </c>
      <c r="G26" s="61"/>
      <c r="H26" s="61"/>
      <c r="I26" s="186" t="s">
        <v>1475</v>
      </c>
      <c r="J26" s="186" t="s">
        <v>1476</v>
      </c>
      <c r="K26" s="187" t="s">
        <v>1477</v>
      </c>
      <c r="L26" s="188" t="s">
        <v>1460</v>
      </c>
      <c r="M26" s="176"/>
    </row>
    <row r="27" spans="1:13" s="73" customFormat="1" ht="30" x14ac:dyDescent="0.25">
      <c r="A27" s="161"/>
      <c r="B27" s="160" t="s">
        <v>139</v>
      </c>
      <c r="C27" s="156" t="s">
        <v>1482</v>
      </c>
      <c r="D27" s="62">
        <f>'INPUTAN DESA ....'!F241</f>
        <v>4</v>
      </c>
      <c r="E27" s="61" t="str">
        <f>IF(D27=1,"Tidak Ada Aktivitas Posyandu",
IF(D27=2,"Aktivitas Posyandu Ada dan Rutin 1 Kali Per Tahun",
IF(D27=3,"Aktivitas Posyandu Ada dan Rutin 2-4 Kali Per Tahun",
IF(D27=4,"Aktivitas Posyandu Ada dan Rutin 5-7 Kali Per Tahun",
IF(D27=5,"Aktivitas Posyandu Ada dan Rutin &gt;=8 Kali Per Tahun","Tidak Teridentifikasi")))))</f>
        <v>Aktivitas Posyandu Ada dan Rutin 5-7 Kali Per Tahun</v>
      </c>
      <c r="F27" s="61" t="str">
        <f>IF(OR(D27=4,D27=3,D27=2,D27=1),"Perlu Peningkatan Aktivitas Posyandu",
IF(D27=5,"","Tidak Teridentifikasi"))</f>
        <v>Perlu Peningkatan Aktivitas Posyandu</v>
      </c>
      <c r="G27" s="61"/>
      <c r="H27" s="61"/>
      <c r="I27" s="186" t="s">
        <v>1475</v>
      </c>
      <c r="J27" s="186" t="s">
        <v>1476</v>
      </c>
      <c r="K27" s="187" t="s">
        <v>1477</v>
      </c>
      <c r="L27" s="188" t="s">
        <v>1483</v>
      </c>
      <c r="M27" s="176" t="s">
        <v>167</v>
      </c>
    </row>
    <row r="28" spans="1:13" s="73" customFormat="1" ht="30" x14ac:dyDescent="0.25">
      <c r="A28" s="161"/>
      <c r="B28" s="155" t="s">
        <v>251</v>
      </c>
      <c r="C28" s="156" t="s">
        <v>1484</v>
      </c>
      <c r="D28" s="61">
        <f>'INPUTAN DESA ....'!F246</f>
        <v>4</v>
      </c>
      <c r="E28" s="61" t="str">
        <f>IF(D28=1,"Akses Menuju Fasilitas Posyandu Sangat Sulit",
IF(D28=2,"Akses Menuju Fasilitas Posyandu Sulit",
IF(D28=3,"Akses Menuju Fasilitas Posyandu Sedang",
IF(D28=4,"Akses Menuju Fasilitas Posyandu Mudah",
IF(D28=5,"Akses Menuju Fasilitas Posyandu Sangat Mudah","Tidak Teridentifikasi")))))</f>
        <v>Akses Menuju Fasilitas Posyandu Mudah</v>
      </c>
      <c r="F28" s="61" t="str">
        <f>IF(OR(D28=4,D28=3,D28=2,D28=1),"Perlu Menyediakan Kemudahan Akses Fasilitas Posyandu",
IF(D28=5,"","Tidak Teridentifikasi"))</f>
        <v>Perlu Menyediakan Kemudahan Akses Fasilitas Posyandu</v>
      </c>
      <c r="G28" s="61"/>
      <c r="H28" s="61"/>
      <c r="I28" s="186" t="s">
        <v>1475</v>
      </c>
      <c r="J28" s="186" t="s">
        <v>1476</v>
      </c>
      <c r="K28" s="187" t="s">
        <v>1477</v>
      </c>
      <c r="L28" s="188" t="s">
        <v>1483</v>
      </c>
      <c r="M28" s="176" t="s">
        <v>167</v>
      </c>
    </row>
    <row r="29" spans="1:13" ht="19.899999999999999" customHeight="1" x14ac:dyDescent="0.25">
      <c r="A29" s="1011">
        <v>8</v>
      </c>
      <c r="B29" s="1012"/>
      <c r="C29" s="158" t="s">
        <v>279</v>
      </c>
      <c r="D29" s="60">
        <f>SUM(D30,D31,D32,D33)</f>
        <v>4</v>
      </c>
      <c r="E29" s="66"/>
      <c r="F29" s="74"/>
      <c r="G29" s="74"/>
      <c r="H29" s="74"/>
      <c r="I29" s="177"/>
      <c r="J29" s="177"/>
      <c r="K29" s="177"/>
      <c r="L29" s="178"/>
      <c r="M29" s="179"/>
    </row>
    <row r="30" spans="1:13" s="73" customFormat="1" ht="30" x14ac:dyDescent="0.25">
      <c r="A30" s="161"/>
      <c r="B30" s="160" t="s">
        <v>41</v>
      </c>
      <c r="C30" s="156" t="s">
        <v>1485</v>
      </c>
      <c r="D30" s="62">
        <f>'INPUTAN DESA ....'!F255</f>
        <v>1</v>
      </c>
      <c r="E30" s="62" t="str">
        <f>IF(D30=1,"Tidak Tersedia Layanan Dokter di Desa",
IF(D30=5,"Tersedia Layanan Dokter di Desa","Tidak Teridentifikasi"))</f>
        <v>Tidak Tersedia Layanan Dokter di Desa</v>
      </c>
      <c r="F30" s="61" t="str">
        <f>IF(D30=1,"Perlu Tersedia Layanan Dokter di Desa",
IF(D30=5,"","Tidak Teridentifikasi"))</f>
        <v>Perlu Tersedia Layanan Dokter di Desa</v>
      </c>
      <c r="G30" s="61"/>
      <c r="H30" s="61"/>
      <c r="I30" s="186" t="s">
        <v>1475</v>
      </c>
      <c r="J30" s="186" t="s">
        <v>1476</v>
      </c>
      <c r="K30" s="187" t="s">
        <v>1477</v>
      </c>
      <c r="L30" s="188" t="s">
        <v>1483</v>
      </c>
      <c r="M30" s="176" t="s">
        <v>167</v>
      </c>
    </row>
    <row r="31" spans="1:13" s="73" customFormat="1" ht="30" x14ac:dyDescent="0.25">
      <c r="A31" s="161"/>
      <c r="B31" s="160" t="s">
        <v>139</v>
      </c>
      <c r="C31" s="156" t="s">
        <v>1486</v>
      </c>
      <c r="D31" s="62">
        <f>'INPUTAN DESA ....'!F263</f>
        <v>1</v>
      </c>
      <c r="E31" s="61" t="str">
        <f>IF(D31=1,"Layanan Dokter Tidak Memiliki Waktu Operasional Tetap",
IF(D31=3,"Layanan Dokter Tersedia 1 Kali lebih dari Seminggu",
IF(D31=5,"Layanan Dokter Tersedia 1 Kali dalam Seminggu","Tidak Teridentifikasi")))</f>
        <v>Layanan Dokter Tidak Memiliki Waktu Operasional Tetap</v>
      </c>
      <c r="F31" s="61" t="str">
        <f>IF(D31=1,"Ketersediaan Layanan Dokter di Desa Minimal 1 Kali dalam Seminggu",
IF(D31=3,"Ketersediaan Layanan Dokter di Desa Minimal 1 Kali dalam Seminggu",
IF(D31=5,"","Tidak Teridentifikasi")))</f>
        <v>Ketersediaan Layanan Dokter di Desa Minimal 1 Kali dalam Seminggu</v>
      </c>
      <c r="G31" s="61"/>
      <c r="H31" s="61"/>
      <c r="I31" s="186" t="s">
        <v>1475</v>
      </c>
      <c r="J31" s="186" t="s">
        <v>1476</v>
      </c>
      <c r="K31" s="187" t="s">
        <v>1477</v>
      </c>
      <c r="L31" s="188" t="s">
        <v>1483</v>
      </c>
      <c r="M31" s="176" t="s">
        <v>167</v>
      </c>
    </row>
    <row r="32" spans="1:13" s="73" customFormat="1" ht="30" x14ac:dyDescent="0.25">
      <c r="A32" s="162"/>
      <c r="B32" s="160" t="s">
        <v>251</v>
      </c>
      <c r="C32" s="156" t="s">
        <v>1487</v>
      </c>
      <c r="D32" s="62">
        <f>'INPUTAN DESA ....'!F264</f>
        <v>1</v>
      </c>
      <c r="E32" s="62" t="str">
        <f>IF(D32=1,"Penyedia Layanan Dokter berasal dari Yayasan/Swasta/Masyarakat",
IF(D32=5,"Penyedia Layanan Dokter berasal dari Pemerintah","Tidak Teridentifikasi"))</f>
        <v>Penyedia Layanan Dokter berasal dari Yayasan/Swasta/Masyarakat</v>
      </c>
      <c r="F32" s="61" t="str">
        <f>IF(D32=1,"Penyedia Layanan Dokter disarankan Berasal dari Pemerintah",
IF(D32=5,"","Tidak Teridentifikasi"))</f>
        <v>Penyedia Layanan Dokter disarankan Berasal dari Pemerintah</v>
      </c>
      <c r="G32" s="61"/>
      <c r="H32" s="61"/>
      <c r="I32" s="186" t="s">
        <v>1475</v>
      </c>
      <c r="J32" s="186" t="s">
        <v>1476</v>
      </c>
      <c r="K32" s="187" t="s">
        <v>1477</v>
      </c>
      <c r="L32" s="188" t="s">
        <v>1483</v>
      </c>
      <c r="M32" s="176" t="s">
        <v>167</v>
      </c>
    </row>
    <row r="33" spans="1:13" s="73" customFormat="1" ht="30" x14ac:dyDescent="0.25">
      <c r="A33" s="161"/>
      <c r="B33" s="160" t="s">
        <v>255</v>
      </c>
      <c r="C33" s="156" t="s">
        <v>1488</v>
      </c>
      <c r="D33" s="62">
        <f>'INPUTAN DESA ....'!F265</f>
        <v>1</v>
      </c>
      <c r="E33" s="62" t="str">
        <f>IF(D33=1,"Tidak Tersedia Sarana Transportasi Penunjang Menuju Layanan Dokter",
IF(D33=5,"Tersedia Sarana Transportasi Penunjang Menuju Layanan Dokter","Tidak Teridentifikasi"))</f>
        <v>Tidak Tersedia Sarana Transportasi Penunjang Menuju Layanan Dokter</v>
      </c>
      <c r="F33" s="61" t="str">
        <f>IF(D33=1,"Perlu Tersedia Sarana Transportasi Penunjang Layanan Dokter",
IF(D33=5,"","Tidak Teridentifikasi"))</f>
        <v>Perlu Tersedia Sarana Transportasi Penunjang Layanan Dokter</v>
      </c>
      <c r="G33" s="61"/>
      <c r="H33" s="61"/>
      <c r="I33" s="186" t="s">
        <v>1475</v>
      </c>
      <c r="J33" s="186" t="s">
        <v>1476</v>
      </c>
      <c r="K33" s="187" t="s">
        <v>1477</v>
      </c>
      <c r="L33" s="188" t="s">
        <v>1483</v>
      </c>
      <c r="M33" s="176" t="s">
        <v>167</v>
      </c>
    </row>
    <row r="34" spans="1:13" ht="19.899999999999999" customHeight="1" x14ac:dyDescent="0.25">
      <c r="A34" s="1011">
        <v>9</v>
      </c>
      <c r="B34" s="1012"/>
      <c r="C34" s="158" t="s">
        <v>286</v>
      </c>
      <c r="D34" s="60">
        <f>SUM(D35,D36,D37,D38)</f>
        <v>14</v>
      </c>
      <c r="E34" s="66"/>
      <c r="F34" s="74"/>
      <c r="G34" s="74"/>
      <c r="H34" s="74"/>
      <c r="I34" s="177"/>
      <c r="J34" s="177"/>
      <c r="K34" s="177"/>
      <c r="L34" s="188"/>
      <c r="M34" s="179"/>
    </row>
    <row r="35" spans="1:13" s="73" customFormat="1" ht="30" x14ac:dyDescent="0.25">
      <c r="A35" s="161"/>
      <c r="B35" s="160" t="s">
        <v>41</v>
      </c>
      <c r="C35" s="156" t="s">
        <v>1489</v>
      </c>
      <c r="D35" s="62">
        <f>'INPUTAN DESA ....'!F273</f>
        <v>5</v>
      </c>
      <c r="E35" s="62" t="str">
        <f>IF(D35=1,"Tidak Tersedia Layanan Bidan di Desa",
IF(D35=5,"Tersedia Layanan Bidan di Desa","Tidak Teridentifikasi"))</f>
        <v>Tersedia Layanan Bidan di Desa</v>
      </c>
      <c r="F35" s="61" t="str">
        <f>IF(D35=1,"Perlu Tersedianya Layanan Bidan di Desa",
IF(D35=5,"","Tidak Teridentifikasi"))</f>
        <v/>
      </c>
      <c r="G35" s="61"/>
      <c r="H35" s="61"/>
      <c r="I35" s="186" t="s">
        <v>1475</v>
      </c>
      <c r="J35" s="186" t="s">
        <v>1476</v>
      </c>
      <c r="K35" s="187" t="s">
        <v>1477</v>
      </c>
      <c r="L35" s="188" t="s">
        <v>1483</v>
      </c>
      <c r="M35" s="176" t="s">
        <v>167</v>
      </c>
    </row>
    <row r="36" spans="1:13" s="73" customFormat="1" ht="30" x14ac:dyDescent="0.25">
      <c r="A36" s="161"/>
      <c r="B36" s="160" t="s">
        <v>139</v>
      </c>
      <c r="C36" s="156" t="s">
        <v>1490</v>
      </c>
      <c r="D36" s="62">
        <f>'INPUTAN DESA ....'!F280</f>
        <v>3</v>
      </c>
      <c r="E36" s="61" t="str">
        <f>IF(D36=1,"Layanan Bidan Tidak Memiliki Waktu Operasional Tetap",
IF(D36=3,"Layanan Bidan Tersedia 1 Kali lebih dari Seminggu",
IF(D36=5,"Layanan Bidan Tersedia 1 Kali dalam Seminggu","Tidak Teridentifikasi")))</f>
        <v>Layanan Bidan Tersedia 1 Kali lebih dari Seminggu</v>
      </c>
      <c r="F36" s="61" t="str">
        <f>IF(D36=1,"Ketersediaan Layanan Bidan di Desa Minimal 1 Kali dalam Seminggu",
IF(D36=3,"Ketersediaan Layanan Bidan di Desa Minimal 1 Kali dalam Seminggu",
IF(D36=5,"","Tidak Teridentifikasi")))</f>
        <v>Ketersediaan Layanan Bidan di Desa Minimal 1 Kali dalam Seminggu</v>
      </c>
      <c r="G36" s="61"/>
      <c r="H36" s="61"/>
      <c r="I36" s="186" t="s">
        <v>1475</v>
      </c>
      <c r="J36" s="186" t="s">
        <v>1476</v>
      </c>
      <c r="K36" s="187" t="s">
        <v>1477</v>
      </c>
      <c r="L36" s="188" t="s">
        <v>1483</v>
      </c>
      <c r="M36" s="176" t="s">
        <v>167</v>
      </c>
    </row>
    <row r="37" spans="1:13" s="73" customFormat="1" ht="30" x14ac:dyDescent="0.25">
      <c r="A37" s="162"/>
      <c r="B37" s="160" t="s">
        <v>251</v>
      </c>
      <c r="C37" s="156" t="s">
        <v>1491</v>
      </c>
      <c r="D37" s="62">
        <f>'INPUTAN DESA ....'!F281</f>
        <v>5</v>
      </c>
      <c r="E37" s="62" t="str">
        <f>IF(D37=1,"Penyedia Layanan Bidan berasal dari Yayasan/Swasta/Masyarakat",
IF(D37=5,"Penyedia Layanan Bidan berasal dari Pemerintah","Tidak Teridentifikasi"))</f>
        <v>Penyedia Layanan Bidan berasal dari Pemerintah</v>
      </c>
      <c r="F37" s="61" t="str">
        <f>IF(D37=1,"Penyedia Layanan Bidan disarankan Berasal dari Pemerintah",
IF(D37=5,"","Tidak Teridentifikasi"))</f>
        <v/>
      </c>
      <c r="G37" s="61"/>
      <c r="H37" s="61"/>
      <c r="I37" s="186" t="s">
        <v>1475</v>
      </c>
      <c r="J37" s="186" t="s">
        <v>1476</v>
      </c>
      <c r="K37" s="187" t="s">
        <v>1477</v>
      </c>
      <c r="L37" s="188" t="s">
        <v>1483</v>
      </c>
      <c r="M37" s="176" t="s">
        <v>167</v>
      </c>
    </row>
    <row r="38" spans="1:13" s="73" customFormat="1" ht="30" x14ac:dyDescent="0.25">
      <c r="A38" s="161"/>
      <c r="B38" s="160" t="s">
        <v>255</v>
      </c>
      <c r="C38" s="156" t="s">
        <v>1492</v>
      </c>
      <c r="D38" s="62">
        <f>'INPUTAN DESA ....'!F282</f>
        <v>1</v>
      </c>
      <c r="E38" s="62" t="str">
        <f>IF(D38=1,"Tidak Tersedia Sarana Transportasi Penunjang Menuju Layanan Bidan",
IF(D38=5,"Tersedia Sarana Transportasi Penunjang Menuju Layanan Bidan","Tidak Teridentifikasi"))</f>
        <v>Tidak Tersedia Sarana Transportasi Penunjang Menuju Layanan Bidan</v>
      </c>
      <c r="F38" s="61" t="str">
        <f>IF(D38=1,"Perlu Tersedia Sarana Transportasi Penunjang Layanan Bidan",
IF(D38=5,"","Tidak Teridentifikasi"))</f>
        <v>Perlu Tersedia Sarana Transportasi Penunjang Layanan Bidan</v>
      </c>
      <c r="G38" s="61"/>
      <c r="H38" s="61"/>
      <c r="I38" s="186" t="s">
        <v>1475</v>
      </c>
      <c r="J38" s="186" t="s">
        <v>1476</v>
      </c>
      <c r="K38" s="187" t="s">
        <v>1477</v>
      </c>
      <c r="L38" s="188" t="s">
        <v>1483</v>
      </c>
      <c r="M38" s="176" t="s">
        <v>167</v>
      </c>
    </row>
    <row r="39" spans="1:13" ht="19.899999999999999" customHeight="1" x14ac:dyDescent="0.25">
      <c r="A39" s="1011">
        <v>10</v>
      </c>
      <c r="B39" s="1012"/>
      <c r="C39" s="158" t="s">
        <v>292</v>
      </c>
      <c r="D39" s="63">
        <f>SUM(D40,D41,D42,D43)</f>
        <v>4</v>
      </c>
      <c r="E39" s="77"/>
      <c r="F39" s="78"/>
      <c r="G39" s="78"/>
      <c r="H39" s="78"/>
      <c r="I39" s="177"/>
      <c r="J39" s="177"/>
      <c r="K39" s="177"/>
      <c r="L39" s="178"/>
      <c r="M39" s="189"/>
    </row>
    <row r="40" spans="1:13" s="73" customFormat="1" ht="30" x14ac:dyDescent="0.25">
      <c r="A40" s="161"/>
      <c r="B40" s="160" t="s">
        <v>41</v>
      </c>
      <c r="C40" s="156" t="s">
        <v>1493</v>
      </c>
      <c r="D40" s="62">
        <f>'INPUTAN DESA ....'!F290</f>
        <v>1</v>
      </c>
      <c r="E40" s="62" t="str">
        <f>IF(D40=1,"Tidak Tersedia Layanan Bidan di Desa",
IF(D40=5,"Tersedia Layanan Tenaga Kesehatan di Desa","Tidak Teridentifikasi"))</f>
        <v>Tidak Tersedia Layanan Bidan di Desa</v>
      </c>
      <c r="F40" s="61" t="str">
        <f>IF(D40=1,"Perlu Tersedianya Layanan Tenaga Kesehatan di Desa",
IF(D40=5,"","Tidak Teridentifikasi"))</f>
        <v>Perlu Tersedianya Layanan Tenaga Kesehatan di Desa</v>
      </c>
      <c r="G40" s="61"/>
      <c r="H40" s="61"/>
      <c r="I40" s="186" t="s">
        <v>1475</v>
      </c>
      <c r="J40" s="186" t="s">
        <v>1476</v>
      </c>
      <c r="K40" s="187" t="s">
        <v>1477</v>
      </c>
      <c r="L40" s="188" t="s">
        <v>1483</v>
      </c>
      <c r="M40" s="176" t="s">
        <v>167</v>
      </c>
    </row>
    <row r="41" spans="1:13" s="73" customFormat="1" ht="30" x14ac:dyDescent="0.25">
      <c r="A41" s="161"/>
      <c r="B41" s="160" t="s">
        <v>139</v>
      </c>
      <c r="C41" s="156" t="s">
        <v>1494</v>
      </c>
      <c r="D41" s="62">
        <f>'INPUTAN DESA ....'!F292</f>
        <v>1</v>
      </c>
      <c r="E41" s="61" t="str">
        <f>IF(D41=1,"Layanan Bidan Tidak Memiliki Waktu Operasional Tetap",
IF(D41=3,"Layanan Bidan Tersedia 1 Kali lebih dari Seminggu",
IF(D41=5,"Layanan Bidan Tersedia 1 Kali dalam Seminggu","Tidak Teridentifikasi")))</f>
        <v>Layanan Bidan Tidak Memiliki Waktu Operasional Tetap</v>
      </c>
      <c r="F41" s="61" t="str">
        <f>IF(D41=1,"Ketersediaan Layanan Tenaga Kesehatan di Desa Minimal 1 Kali dalam Seminggu",
IF(D41=3,"Ketersediaan Layanan Tenaga Kesehatan di Desa Minimal 1 Kali dalam Seminggu",
IF(D41=5,"","Tidak Teridentifikasi")))</f>
        <v>Ketersediaan Layanan Tenaga Kesehatan di Desa Minimal 1 Kali dalam Seminggu</v>
      </c>
      <c r="G41" s="61"/>
      <c r="H41" s="61"/>
      <c r="I41" s="186" t="s">
        <v>1475</v>
      </c>
      <c r="J41" s="186" t="s">
        <v>1476</v>
      </c>
      <c r="K41" s="187" t="s">
        <v>1477</v>
      </c>
      <c r="L41" s="188" t="s">
        <v>1483</v>
      </c>
      <c r="M41" s="176" t="s">
        <v>167</v>
      </c>
    </row>
    <row r="42" spans="1:13" s="73" customFormat="1" ht="30" x14ac:dyDescent="0.25">
      <c r="A42" s="162"/>
      <c r="B42" s="160" t="s">
        <v>251</v>
      </c>
      <c r="C42" s="156" t="s">
        <v>1495</v>
      </c>
      <c r="D42" s="62">
        <f>'INPUTAN DESA ....'!F293</f>
        <v>1</v>
      </c>
      <c r="E42" s="62" t="str">
        <f>IF(D42=1,"Penyedia Layanan Bidan berasal dari Yayasan/Swasta/Masyarakat",
IF(D42=5,"Penyedia Layanan Bidan berasal dari Pemerintah","Tidak Teridentifikasi"))</f>
        <v>Penyedia Layanan Bidan berasal dari Yayasan/Swasta/Masyarakat</v>
      </c>
      <c r="F42" s="61" t="str">
        <f>IF(D42=1,"Penyedia Layanan Tenaga Kesehatan disarankan Berasal dari Pemerintah",
IF(D42=5,"","Tidak Teridentifikasi"))</f>
        <v>Penyedia Layanan Tenaga Kesehatan disarankan Berasal dari Pemerintah</v>
      </c>
      <c r="G42" s="61"/>
      <c r="H42" s="61"/>
      <c r="I42" s="186" t="s">
        <v>1475</v>
      </c>
      <c r="J42" s="186" t="s">
        <v>1476</v>
      </c>
      <c r="K42" s="187" t="s">
        <v>1477</v>
      </c>
      <c r="L42" s="188" t="s">
        <v>1483</v>
      </c>
      <c r="M42" s="176" t="s">
        <v>167</v>
      </c>
    </row>
    <row r="43" spans="1:13" s="73" customFormat="1" ht="30" x14ac:dyDescent="0.25">
      <c r="A43" s="161"/>
      <c r="B43" s="160" t="s">
        <v>255</v>
      </c>
      <c r="C43" s="156" t="s">
        <v>1496</v>
      </c>
      <c r="D43" s="62">
        <f>'INPUTAN DESA ....'!F294</f>
        <v>1</v>
      </c>
      <c r="E43" s="62" t="str">
        <f>IF(D43=1,"Tidak Tersedia Sarana Transportasi Penunjang Menuju Layanan Bidan",
IF(D43=5,"Tersedia Sarana Transportasi Penunjang Menuju Layanan Bidan","Tidak Teridentifikasi"))</f>
        <v>Tidak Tersedia Sarana Transportasi Penunjang Menuju Layanan Bidan</v>
      </c>
      <c r="F43" s="61" t="str">
        <f>IF(D43=1,"Perlu Tersedia Sarana Transportasi Penunjang Layanan Tenaga Kesehatan",
IF(D43=5,"","Tidak Teridentifikasi"))</f>
        <v>Perlu Tersedia Sarana Transportasi Penunjang Layanan Tenaga Kesehatan</v>
      </c>
      <c r="G43" s="61"/>
      <c r="H43" s="61"/>
      <c r="I43" s="186" t="s">
        <v>1475</v>
      </c>
      <c r="J43" s="186" t="s">
        <v>1476</v>
      </c>
      <c r="K43" s="187" t="s">
        <v>1477</v>
      </c>
      <c r="L43" s="188" t="s">
        <v>1483</v>
      </c>
      <c r="M43" s="176" t="s">
        <v>167</v>
      </c>
    </row>
    <row r="44" spans="1:13" ht="19.899999999999999" customHeight="1" x14ac:dyDescent="0.25">
      <c r="A44" s="1011">
        <v>11</v>
      </c>
      <c r="B44" s="1012"/>
      <c r="C44" s="158" t="s">
        <v>297</v>
      </c>
      <c r="D44" s="63">
        <f>SUM(D45,D46)</f>
        <v>2</v>
      </c>
      <c r="E44" s="77"/>
      <c r="F44" s="78"/>
      <c r="G44" s="78"/>
      <c r="H44" s="78"/>
      <c r="I44" s="177"/>
      <c r="J44" s="177"/>
      <c r="K44" s="177"/>
      <c r="L44" s="178"/>
      <c r="M44" s="179"/>
    </row>
    <row r="45" spans="1:13" s="73" customFormat="1" ht="30" x14ac:dyDescent="0.25">
      <c r="A45" s="161"/>
      <c r="B45" s="160" t="s">
        <v>41</v>
      </c>
      <c r="C45" s="156" t="s">
        <v>1497</v>
      </c>
      <c r="D45" s="61">
        <f>'INPUTAN DESA ....'!F303</f>
        <v>1</v>
      </c>
      <c r="E45" s="61" t="str">
        <f>IF(D45=1,"Persentase Keanggotaan BPJS 0-20%",
IF(D45=2,"Persentase Keanggotaan BPJS &gt;20-40%",
IF(D45=3,"Persentase Keanggotaan BPJS &gt;40-60%",
IF(D45=4,"Persentase Keanggotaan BPJS &gt;60-80%",
IF(D45=5,"Persentase Keanggotaan BPJS &gt;80-100%","Tidak Teridentifikasi")))))</f>
        <v>Persentase Keanggotaan BPJS 0-20%</v>
      </c>
      <c r="F45" s="61" t="str">
        <f>IF(D45=1,"Persentase 0-20%, Perlu Melakukan Sosialisasi BPJS",
IF(D45=2,"Persentase &gt;20-40%, Perlu Melakukan Sosialisasi BPJS",
IF(D45=3,"Persentase &gt;40-60%, Perlu Melakukan Sosialisasi BPJS",
IF(D45=4,"Persentase &gt;60-80%, Perlu Melakukan Sosialisasi BPJS",
IF(D45=5,"","Tidak Teridentifikasi")))))</f>
        <v>Persentase 0-20%, Perlu Melakukan Sosialisasi BPJS</v>
      </c>
      <c r="G45" s="61"/>
      <c r="H45" s="61"/>
      <c r="I45" s="186" t="s">
        <v>1475</v>
      </c>
      <c r="J45" s="186" t="s">
        <v>1476</v>
      </c>
      <c r="K45" s="187" t="s">
        <v>1477</v>
      </c>
      <c r="L45" s="188" t="s">
        <v>1483</v>
      </c>
      <c r="M45" s="176" t="s">
        <v>167</v>
      </c>
    </row>
    <row r="46" spans="1:13" s="73" customFormat="1" ht="30" x14ac:dyDescent="0.25">
      <c r="A46" s="161"/>
      <c r="B46" s="160" t="s">
        <v>139</v>
      </c>
      <c r="C46" s="156" t="s">
        <v>1498</v>
      </c>
      <c r="D46" s="62">
        <f>'INPUTAN DESA ....'!F304</f>
        <v>1</v>
      </c>
      <c r="E46" s="62" t="str">
        <f>IF(D46=1,"Tidak Terdapat Kegiatan Sosialisasi dan/atau Advokasi terkait Program Jaminan Kesehatan Nasional di Desa",
IF(D46=5,"Terdapat Kegiatan Sosialisasi dan/atau Advokasi terkait Program Jaminan Kesehatan Nasional di Desa","Tidak Teridentifikasi"))</f>
        <v>Tidak Terdapat Kegiatan Sosialisasi dan/atau Advokasi terkait Program Jaminan Kesehatan Nasional di Desa</v>
      </c>
      <c r="F46" s="61" t="str">
        <f>IF(D46=1,"Mengadakan Kegiatan Sosialisasi dan/atau Advokasi terkait Program Jaminan Kesehatan Nasional di Desa",
IF(D46=5,"","Tidak Teridentifikasi"))</f>
        <v>Mengadakan Kegiatan Sosialisasi dan/atau Advokasi terkait Program Jaminan Kesehatan Nasional di Desa</v>
      </c>
      <c r="G46" s="61"/>
      <c r="H46" s="61"/>
      <c r="I46" s="186" t="s">
        <v>1475</v>
      </c>
      <c r="J46" s="186" t="s">
        <v>1476</v>
      </c>
      <c r="K46" s="187" t="s">
        <v>1477</v>
      </c>
      <c r="L46" s="188" t="s">
        <v>1483</v>
      </c>
      <c r="M46" s="176" t="s">
        <v>167</v>
      </c>
    </row>
    <row r="47" spans="1:13" ht="19.899999999999999" customHeight="1" x14ac:dyDescent="0.25">
      <c r="A47" s="1011" t="s">
        <v>300</v>
      </c>
      <c r="B47" s="1012"/>
      <c r="C47" s="153" t="s">
        <v>301</v>
      </c>
      <c r="D47" s="60">
        <f>SUM(D48,D53)</f>
        <v>19</v>
      </c>
      <c r="E47" s="67"/>
      <c r="F47" s="68"/>
      <c r="G47" s="68"/>
      <c r="H47" s="68"/>
      <c r="I47" s="180"/>
      <c r="J47" s="180"/>
      <c r="K47" s="180"/>
      <c r="L47" s="181"/>
      <c r="M47" s="182"/>
    </row>
    <row r="48" spans="1:13" ht="19.899999999999999" customHeight="1" x14ac:dyDescent="0.25">
      <c r="A48" s="1011">
        <v>12</v>
      </c>
      <c r="B48" s="1012"/>
      <c r="C48" s="158" t="s">
        <v>1499</v>
      </c>
      <c r="D48" s="60">
        <f>SUM(D49,D50,D51,D52)</f>
        <v>14</v>
      </c>
      <c r="E48" s="71"/>
      <c r="F48" s="72"/>
      <c r="G48" s="72"/>
      <c r="H48" s="72"/>
      <c r="I48" s="183"/>
      <c r="J48" s="183"/>
      <c r="K48" s="183"/>
      <c r="L48" s="184"/>
      <c r="M48" s="185"/>
    </row>
    <row r="49" spans="1:13" s="73" customFormat="1" ht="45" x14ac:dyDescent="0.25">
      <c r="A49" s="161"/>
      <c r="B49" s="160" t="s">
        <v>41</v>
      </c>
      <c r="C49" s="156" t="s">
        <v>1500</v>
      </c>
      <c r="D49" s="62">
        <f>'INPUTAN DESA ....'!F313</f>
        <v>3</v>
      </c>
      <c r="E49" s="61" t="str">
        <f>IF(D49=1,"Air Minum Tersedia &lt;4 Hari",
IF(D49=3,"Air Minum Tersedia 4-6 Hari",
IF(D49=5,"Air Minum Tersedia Setiap Hari","Tidak Teridentifikasi")))</f>
        <v>Air Minum Tersedia 4-6 Hari</v>
      </c>
      <c r="F49" s="61" t="str">
        <f>IF(D49=1,"Perlu Ketersediaan Air Minum di Desa Setiap Hari",
IF(D49=3,"Perlu Ketersediaan Air Minum di Desa Setiap Hari",
IF(D49=5,"","Tidak Teridentifikasi")))</f>
        <v>Perlu Ketersediaan Air Minum di Desa Setiap Hari</v>
      </c>
      <c r="G49" s="61"/>
      <c r="H49" s="61"/>
      <c r="I49" s="186" t="s">
        <v>1501</v>
      </c>
      <c r="J49" s="186" t="s">
        <v>1476</v>
      </c>
      <c r="K49" s="186" t="s">
        <v>1502</v>
      </c>
      <c r="L49" s="188" t="s">
        <v>1483</v>
      </c>
      <c r="M49" s="176" t="s">
        <v>167</v>
      </c>
    </row>
    <row r="50" spans="1:13" s="73" customFormat="1" ht="45" x14ac:dyDescent="0.25">
      <c r="A50" s="162"/>
      <c r="B50" s="160" t="s">
        <v>139</v>
      </c>
      <c r="C50" s="156" t="s">
        <v>1503</v>
      </c>
      <c r="D50" s="62">
        <f>'INPUTAN DESA ....'!F315</f>
        <v>3</v>
      </c>
      <c r="E50" s="62" t="str">
        <f>IF(D50=1,"Sangat Sedikit Warga di Desa yang Bisa Mengakses Air Minum (&lt;50% Terakses)",
IF(D50=3,"Sebagian Warga di Desa yang Bisa Mengakses Air Minum (50-100% Terakses)",
IF(D50=5,"Seluruh Warga di Desa Sudah Bisa Mengakses Air Minum (100% Terakses)","Tidak Teridentifikasi")))</f>
        <v>Sebagian Warga di Desa yang Bisa Mengakses Air Minum (50-100% Terakses)</v>
      </c>
      <c r="F50" s="61" t="str">
        <f>IF(D50=1,"&lt;50%, Perlu Ketersediaan Akses Air Minum untuk Warga Desa",
IF(D50=3,"&gt;=50% - &lt;100%, Perlu Ketersediaan Akses Air Minum untuk Warga Desa",
IF(D50=5,"","Tidak Teridentifikasi")))</f>
        <v>&gt;=50% - &lt;100%, Perlu Ketersediaan Akses Air Minum untuk Warga Desa</v>
      </c>
      <c r="G50" s="61"/>
      <c r="H50" s="61"/>
      <c r="I50" s="186" t="s">
        <v>1501</v>
      </c>
      <c r="J50" s="186" t="s">
        <v>1476</v>
      </c>
      <c r="K50" s="186" t="s">
        <v>1502</v>
      </c>
      <c r="L50" s="188" t="s">
        <v>1483</v>
      </c>
      <c r="M50" s="176" t="s">
        <v>167</v>
      </c>
    </row>
    <row r="51" spans="1:13" s="73" customFormat="1" ht="45" x14ac:dyDescent="0.25">
      <c r="A51" s="162"/>
      <c r="B51" s="160" t="s">
        <v>251</v>
      </c>
      <c r="C51" s="156" t="s">
        <v>1504</v>
      </c>
      <c r="D51" s="62">
        <f>'INPUTAN DESA ....'!F316</f>
        <v>3</v>
      </c>
      <c r="E51" s="61" t="str">
        <f>IF(D51=1,"Akses Air Minum Sulit (Masih Menggunakan 1 Sumber Mata Air/Masih Menggunakan Air Tanah)",
IF(D51=3,"Akses Air Minum Sedang (Sebagian Sudah Terlayani PDAM dan Sebagian Lainnya Menggunakan Air Tanah)",
IF(D51=5,"Akses Air Minum Mudah (Sudah TErlayani PDAM Secara Menyeluruh)","Tidak Teridentifikasi")))</f>
        <v>Akses Air Minum Sedang (Sebagian Sudah Terlayani PDAM dan Sebagian Lainnya Menggunakan Air Tanah)</v>
      </c>
      <c r="F51" s="61" t="str">
        <f>IF(D51=1,"Perlu Kemudahan Akses Air Minum untuk Warga Desa",
IF(D51=3,"Perlu Kemudahan Akses Air Minum untuk Warga Desa",
IF(D51=5,"","Tidak Teridentifikasi")))</f>
        <v>Perlu Kemudahan Akses Air Minum untuk Warga Desa</v>
      </c>
      <c r="G51" s="61"/>
      <c r="H51" s="61"/>
      <c r="I51" s="186" t="s">
        <v>1501</v>
      </c>
      <c r="J51" s="186" t="s">
        <v>1476</v>
      </c>
      <c r="K51" s="186" t="s">
        <v>1502</v>
      </c>
      <c r="L51" s="188" t="s">
        <v>1483</v>
      </c>
      <c r="M51" s="176" t="s">
        <v>167</v>
      </c>
    </row>
    <row r="52" spans="1:13" s="73" customFormat="1" ht="45" x14ac:dyDescent="0.25">
      <c r="A52" s="161"/>
      <c r="B52" s="160" t="s">
        <v>255</v>
      </c>
      <c r="C52" s="156" t="s">
        <v>1505</v>
      </c>
      <c r="D52" s="62">
        <f>'INPUTAN DESA ....'!F318</f>
        <v>5</v>
      </c>
      <c r="E52" s="62" t="str">
        <f>IF(D52=1,"Kualitas Air Minum Tidak Layak (Berbau, Berwarna &amp; Berasa)",
IF(D52=5,"Kualitas Air Minum Layak (Tidak Berbau, Tidak Berwarna dan Tidak Berasa)","Tidak Teridentifikasi"))</f>
        <v>Kualitas Air Minum Layak (Tidak Berbau, Tidak Berwarna dan Tidak Berasa)</v>
      </c>
      <c r="F52" s="61" t="str">
        <f>IF(D52=1,"Perlu Peningkatan Kualitas Air Minum Layak di Desa",
IF(D52=5,"","Tidak Teridentifikasi"))</f>
        <v/>
      </c>
      <c r="G52" s="61"/>
      <c r="H52" s="61"/>
      <c r="I52" s="186" t="s">
        <v>1501</v>
      </c>
      <c r="J52" s="186" t="s">
        <v>1476</v>
      </c>
      <c r="K52" s="186" t="s">
        <v>1502</v>
      </c>
      <c r="L52" s="188" t="s">
        <v>1483</v>
      </c>
      <c r="M52" s="176" t="s">
        <v>167</v>
      </c>
    </row>
    <row r="53" spans="1:13" ht="19.899999999999999" customHeight="1" x14ac:dyDescent="0.25">
      <c r="A53" s="1011">
        <v>13</v>
      </c>
      <c r="B53" s="1012"/>
      <c r="C53" s="158" t="s">
        <v>320</v>
      </c>
      <c r="D53" s="60">
        <f>SUM(D54)</f>
        <v>5</v>
      </c>
      <c r="E53" s="66"/>
      <c r="F53" s="74"/>
      <c r="G53" s="74"/>
      <c r="H53" s="74"/>
      <c r="I53" s="177"/>
      <c r="J53" s="177"/>
      <c r="K53" s="177"/>
      <c r="L53" s="178"/>
      <c r="M53" s="179"/>
    </row>
    <row r="54" spans="1:13" s="73" customFormat="1" ht="45" x14ac:dyDescent="0.25">
      <c r="A54" s="161"/>
      <c r="B54" s="160" t="s">
        <v>41</v>
      </c>
      <c r="C54" s="156" t="s">
        <v>1506</v>
      </c>
      <c r="D54" s="61">
        <f>'INPUTAN DESA ....'!F321</f>
        <v>5</v>
      </c>
      <c r="E54" s="61" t="str">
        <f>IF(D54=1,"Persentase Rumah Tidak Layak Huni &gt;80-100%",
IF(D54=2,"Persentase Rumah Tidak Layak Huni &gt;60-80%",
IF(D54=3,"Persentase Rumah Tidak Layak Huni &gt;40-60%",
IF(D54=4,"Persentase Rumah Tidak Layak Huni &gt;20-40%",
IF(D54=5,"Persentase Rumah Tidak Layak Huni 0-20%","Tidak Teridentifikasi")))))</f>
        <v>Persentase Rumah Tidak Layak Huni 0-20%</v>
      </c>
      <c r="F54" s="61" t="str">
        <f>IF(D54=1,"RTLH &gt;80-100%",
IF(D54=2,"RTLH &gt;60-80%",
IF(D54=3,"RTLH &gt;40-60%",
IF(D54=4,"RTLH &gt;20-40%",
IF(D54=5,"","Tidak Teridentifikasi")))))</f>
        <v/>
      </c>
      <c r="G54" s="61"/>
      <c r="H54" s="61"/>
      <c r="I54" s="186" t="s">
        <v>1501</v>
      </c>
      <c r="J54" s="186" t="s">
        <v>1476</v>
      </c>
      <c r="K54" s="186" t="s">
        <v>1502</v>
      </c>
      <c r="L54" s="188" t="s">
        <v>1483</v>
      </c>
      <c r="M54" s="176" t="s">
        <v>167</v>
      </c>
    </row>
    <row r="55" spans="1:13" ht="19.899999999999999" customHeight="1" x14ac:dyDescent="0.25">
      <c r="A55" s="1011">
        <v>2</v>
      </c>
      <c r="B55" s="1012"/>
      <c r="C55" s="152" t="s">
        <v>322</v>
      </c>
      <c r="D55" s="60">
        <f>SUM(D56,D75)</f>
        <v>47</v>
      </c>
      <c r="E55" s="67"/>
      <c r="F55" s="68"/>
      <c r="G55" s="68"/>
      <c r="H55" s="68"/>
      <c r="I55" s="180"/>
      <c r="J55" s="180"/>
      <c r="K55" s="180"/>
      <c r="L55" s="181"/>
      <c r="M55" s="182"/>
    </row>
    <row r="56" spans="1:13" ht="19.899999999999999" customHeight="1" x14ac:dyDescent="0.25">
      <c r="A56" s="1011" t="s">
        <v>323</v>
      </c>
      <c r="B56" s="1012"/>
      <c r="C56" s="152" t="s">
        <v>324</v>
      </c>
      <c r="D56" s="60">
        <f>SUM(D57,D60,D64,D66,D72)</f>
        <v>37</v>
      </c>
      <c r="E56" s="69"/>
      <c r="F56" s="70"/>
      <c r="G56" s="70"/>
      <c r="H56" s="70"/>
      <c r="I56" s="190"/>
      <c r="J56" s="190"/>
      <c r="K56" s="190"/>
      <c r="L56" s="191"/>
      <c r="M56" s="192"/>
    </row>
    <row r="57" spans="1:13" ht="19.899999999999999" customHeight="1" x14ac:dyDescent="0.25">
      <c r="A57" s="1011">
        <v>14</v>
      </c>
      <c r="B57" s="1012"/>
      <c r="C57" s="153" t="s">
        <v>1507</v>
      </c>
      <c r="D57" s="64">
        <f>SUM(D58,D59)</f>
        <v>10</v>
      </c>
      <c r="E57" s="79"/>
      <c r="F57" s="80"/>
      <c r="G57" s="80"/>
      <c r="H57" s="80"/>
      <c r="I57" s="183"/>
      <c r="J57" s="183"/>
      <c r="K57" s="183"/>
      <c r="L57" s="184"/>
      <c r="M57" s="185"/>
    </row>
    <row r="58" spans="1:13" s="73" customFormat="1" ht="60" x14ac:dyDescent="0.25">
      <c r="A58" s="161"/>
      <c r="B58" s="160" t="s">
        <v>41</v>
      </c>
      <c r="C58" s="163" t="s">
        <v>1508</v>
      </c>
      <c r="D58" s="62">
        <f>'INPUTAN DESA ....'!F325</f>
        <v>5</v>
      </c>
      <c r="E58" s="62" t="str">
        <f>IF(D58=1,"Tidak Terdapat Kearifan Budaya/Sosial/Keagamaan yang Ada/Menjadi Ciri Khas Desa",
IF(D58=5,"Terdapat Kearifan Budaya/Sosial/Keagamaan yang Ada/Menjadi Ciri Khas Desa","Tidak Teridentifikasi"))</f>
        <v>Terdapat Kearifan Budaya/Sosial/Keagamaan yang Ada/Menjadi Ciri Khas Desa</v>
      </c>
      <c r="F58" s="61" t="str">
        <f>IF(D58=1,"Perlu Mengadakan Kearifan Budaya/Sosial/Keagamaan yg ada/Menjadi Ciri Khas Desa",
IF(D58=5,"","Tidak Teridentifikasi"))</f>
        <v/>
      </c>
      <c r="G58" s="61"/>
      <c r="H58" s="61"/>
      <c r="I58" s="193" t="s">
        <v>1509</v>
      </c>
      <c r="J58" s="193" t="s">
        <v>1510</v>
      </c>
      <c r="K58" s="193" t="s">
        <v>1511</v>
      </c>
      <c r="L58" s="189" t="s">
        <v>1512</v>
      </c>
      <c r="M58" s="176" t="s">
        <v>167</v>
      </c>
    </row>
    <row r="59" spans="1:13" s="73" customFormat="1" ht="60" x14ac:dyDescent="0.25">
      <c r="A59" s="161"/>
      <c r="B59" s="160" t="s">
        <v>139</v>
      </c>
      <c r="C59" s="163" t="s">
        <v>1513</v>
      </c>
      <c r="D59" s="62">
        <f>'INPUTAN DESA ....'!F327</f>
        <v>5</v>
      </c>
      <c r="E59" s="62" t="str">
        <f>IF(D59=1,"Tidak Ada Kearifan Budaya/Sosial yang Dipertahankan",
IF(D59=3,"Kurang dari 3 Kearifan Budaya/Sosial yang Dipertahankan",
IF(D59=5,"Lebih dari 3 Kearifan Budaya/Sosial yang Dipertahankan","Tidak Teridentifikasi")))</f>
        <v>Lebih dari 3 Kearifan Budaya/Sosial yang Dipertahankan</v>
      </c>
      <c r="F59" s="61" t="str">
        <f>IF(D59=1,"Perlu Mempertahankan/Melestarikan Kearifan Budaya/Sosial",
IF(D59=3,"Perlu Mempertahankan/Melestarikan Kearifan Budaya/Sosial",
IF(D59=5,"","Tidak Teridentifikasi")))</f>
        <v/>
      </c>
      <c r="G59" s="61"/>
      <c r="H59" s="61"/>
      <c r="I59" s="193" t="s">
        <v>1509</v>
      </c>
      <c r="J59" s="193" t="s">
        <v>1514</v>
      </c>
      <c r="K59" s="193" t="s">
        <v>1514</v>
      </c>
      <c r="L59" s="189" t="s">
        <v>1515</v>
      </c>
      <c r="M59" s="176" t="s">
        <v>167</v>
      </c>
    </row>
    <row r="60" spans="1:13" ht="19.899999999999999" customHeight="1" x14ac:dyDescent="0.25">
      <c r="A60" s="1011">
        <v>15</v>
      </c>
      <c r="B60" s="1012"/>
      <c r="C60" s="153" t="s">
        <v>330</v>
      </c>
      <c r="D60" s="64">
        <f>SUM(D61,D62,D63)</f>
        <v>13</v>
      </c>
      <c r="E60" s="76"/>
      <c r="F60" s="81"/>
      <c r="G60" s="81"/>
      <c r="H60" s="81"/>
      <c r="I60" s="177"/>
      <c r="J60" s="177"/>
      <c r="K60" s="177"/>
      <c r="L60" s="178"/>
      <c r="M60" s="179"/>
    </row>
    <row r="61" spans="1:13" s="73" customFormat="1" ht="75" x14ac:dyDescent="0.25">
      <c r="A61" s="161"/>
      <c r="B61" s="160" t="s">
        <v>41</v>
      </c>
      <c r="C61" s="156" t="s">
        <v>1516</v>
      </c>
      <c r="D61" s="62">
        <f>'INPUTAN DESA ....'!F330</f>
        <v>5</v>
      </c>
      <c r="E61" s="62" t="str">
        <f>IF(D61=1,"Tidak Ada Kegiatan Gotong Royong di Desa",
IF(D61=5,"Terdapat Kegiatan Gotong Royong di Desa","Tidak Teridentifikasi"))</f>
        <v>Terdapat Kegiatan Gotong Royong di Desa</v>
      </c>
      <c r="F61" s="61" t="str">
        <f>IF(D61=1,"Perlu Mengadakan Kegiatan Gotong Royong di Desa",
IF(D61=5,"","Tidak Teridentifikasi"))</f>
        <v/>
      </c>
      <c r="G61" s="61"/>
      <c r="H61" s="61"/>
      <c r="I61" s="193" t="s">
        <v>1517</v>
      </c>
      <c r="J61" s="193" t="s">
        <v>1518</v>
      </c>
      <c r="K61" s="193" t="s">
        <v>1518</v>
      </c>
      <c r="L61" s="189" t="s">
        <v>1519</v>
      </c>
      <c r="M61" s="176" t="s">
        <v>167</v>
      </c>
    </row>
    <row r="62" spans="1:13" s="73" customFormat="1" ht="90" x14ac:dyDescent="0.25">
      <c r="A62" s="161"/>
      <c r="B62" s="160" t="s">
        <v>139</v>
      </c>
      <c r="C62" s="156" t="s">
        <v>1520</v>
      </c>
      <c r="D62" s="62">
        <f>'INPUTAN DESA ....'!F335</f>
        <v>3</v>
      </c>
      <c r="E62" s="62" t="str">
        <f>IF(D62=1,"Tidak Terdapat Kegiatan Gotong Royong di Desa",
IF(D62=3,"Terdapat 1-2 Kegiatan Gotong Royong di Desa dalam 1 Bulan",
IF(D62=5,"Terdapat &gt;2 Kegiatan Gotong Royong di Desa dalam 1 Bulan","Tidak Teridentifikasi")))</f>
        <v>Terdapat 1-2 Kegiatan Gotong Royong di Desa dalam 1 Bulan</v>
      </c>
      <c r="F62" s="61" t="str">
        <f>IF(D62=1,"Perlu Mengadakan Kegiatan Gotong Royong",
IF(D62=3,"Perlu Meningkatkan Frekuensi Gotong Royong",
IF(D62=5,"","Tidak Teridentifikasi")))</f>
        <v>Perlu Meningkatkan Frekuensi Gotong Royong</v>
      </c>
      <c r="G62" s="61"/>
      <c r="H62" s="61"/>
      <c r="I62" s="193" t="s">
        <v>1517</v>
      </c>
      <c r="J62" s="193" t="s">
        <v>1518</v>
      </c>
      <c r="K62" s="193" t="s">
        <v>1518</v>
      </c>
      <c r="L62" s="189" t="s">
        <v>1521</v>
      </c>
      <c r="M62" s="176" t="s">
        <v>167</v>
      </c>
    </row>
    <row r="63" spans="1:13" s="73" customFormat="1" ht="90" x14ac:dyDescent="0.25">
      <c r="A63" s="161"/>
      <c r="B63" s="160" t="s">
        <v>251</v>
      </c>
      <c r="C63" s="156" t="s">
        <v>1522</v>
      </c>
      <c r="D63" s="62">
        <f>'INPUTAN DESA ....'!F336</f>
        <v>5</v>
      </c>
      <c r="E63" s="62" t="str">
        <f>IF(D63=1,"Tidak Terdapat Keterlibatan Warga dalam Kegiatan Gotong Royong di Desa",
IF(D63=3,"Sebagian Kecil Warga Terlibat (&lt;50% Warga Terlibat)",
IF(D63=5,"Sebagian Besar Warga Terlibat (&gt;= 50% Warga Terlibat)","Tidak Teridentifikasi")))</f>
        <v>Sebagian Besar Warga Terlibat (&gt;= 50% Warga Terlibat)</v>
      </c>
      <c r="F63" s="61" t="str">
        <f>IF(D63=1,"Perlu Melibatkan Warga dalam Kegiatan Gotong Royong",
IF(D63=3,"Perlu Melibatkan Warga Sebagian Besar dalam Kegiatan Gotong Royong",
IF(D63=5,"","Tidak Teridentifikasi")))</f>
        <v/>
      </c>
      <c r="G63" s="61"/>
      <c r="H63" s="61"/>
      <c r="I63" s="193" t="s">
        <v>1517</v>
      </c>
      <c r="J63" s="193" t="s">
        <v>1518</v>
      </c>
      <c r="K63" s="193" t="s">
        <v>1518</v>
      </c>
      <c r="L63" s="189" t="s">
        <v>1521</v>
      </c>
      <c r="M63" s="176" t="s">
        <v>167</v>
      </c>
    </row>
    <row r="64" spans="1:13" ht="19.899999999999999" customHeight="1" x14ac:dyDescent="0.25">
      <c r="A64" s="1011">
        <v>16</v>
      </c>
      <c r="B64" s="1012"/>
      <c r="C64" s="153" t="s">
        <v>335</v>
      </c>
      <c r="D64" s="64">
        <f>SUM(D65)</f>
        <v>2</v>
      </c>
      <c r="E64" s="76"/>
      <c r="F64" s="81"/>
      <c r="G64" s="81"/>
      <c r="H64" s="81"/>
      <c r="I64" s="177"/>
      <c r="J64" s="177"/>
      <c r="K64" s="177"/>
      <c r="L64" s="178"/>
      <c r="M64" s="179"/>
    </row>
    <row r="65" spans="1:13" s="73" customFormat="1" ht="60" x14ac:dyDescent="0.25">
      <c r="A65" s="161"/>
      <c r="B65" s="160" t="s">
        <v>41</v>
      </c>
      <c r="C65" s="156" t="s">
        <v>1523</v>
      </c>
      <c r="D65" s="61">
        <f>'INPUTAN DESA ....'!F347</f>
        <v>2</v>
      </c>
      <c r="E65" s="61" t="str">
        <f>IF(D65=1,"Rata-rata Tidak Terdapat kegiatan Olahraga dalam 1 Bulan",
IF(D65=2,"Terdapat 1 Kali Kegiatan Olahraga dalam 1 Bulan",
IF(D65=3,"Terdapat 2-3 Kali Kegiatan Olahraga dalam 1 Bulan",
IF(D65=4,"Terdapat 4-5 Kali Kegiatan Olahraga dalam 1 Bulan",
IF(D65=5,"Terdapat &gt;5 Kali Kegiatan Olahraga dalam 1 Bulan","Tidak Teridentifikasi")))))</f>
        <v>Terdapat 1 Kali Kegiatan Olahraga dalam 1 Bulan</v>
      </c>
      <c r="F65" s="61" t="str">
        <f>IF(D65=1,"Perlu Melakukan Kegiatan Olahraga dalam 1 Bulan",
IF(D65=2,"Perlu Menambahkan Kegiatan Olahraga dalam 1 Bulan",
IF(D65=3,"Perlu Menambahkan Kegiatan Olahraga dalam 1 Bulan",
IF(D65=4,"Perlu Menambahkan Kegiatan Olahraga dalam 1 Bulan",
IF(D65=5,"","Tidak Teridentifikasi")))))</f>
        <v>Perlu Menambahkan Kegiatan Olahraga dalam 1 Bulan</v>
      </c>
      <c r="G65" s="61"/>
      <c r="H65" s="61"/>
      <c r="I65" s="193" t="s">
        <v>1524</v>
      </c>
      <c r="J65" s="193" t="s">
        <v>1525</v>
      </c>
      <c r="K65" s="193" t="s">
        <v>1525</v>
      </c>
      <c r="L65" s="189" t="s">
        <v>1526</v>
      </c>
      <c r="M65" s="189" t="s">
        <v>1527</v>
      </c>
    </row>
    <row r="66" spans="1:13" ht="19.899999999999999" customHeight="1" x14ac:dyDescent="0.25">
      <c r="A66" s="1011">
        <v>17</v>
      </c>
      <c r="B66" s="1012"/>
      <c r="C66" s="158" t="s">
        <v>338</v>
      </c>
      <c r="D66" s="64">
        <f>SUM(D67:D71)</f>
        <v>5</v>
      </c>
      <c r="E66" s="76"/>
      <c r="F66" s="81"/>
      <c r="G66" s="81"/>
      <c r="H66" s="81"/>
      <c r="I66" s="177"/>
      <c r="J66" s="177"/>
      <c r="K66" s="177"/>
      <c r="L66" s="178"/>
      <c r="M66" s="179"/>
    </row>
    <row r="67" spans="1:13" s="73" customFormat="1" ht="105" x14ac:dyDescent="0.25">
      <c r="A67" s="161"/>
      <c r="B67" s="160" t="s">
        <v>41</v>
      </c>
      <c r="C67" s="156" t="s">
        <v>1528</v>
      </c>
      <c r="D67" s="62">
        <f>'INPUTAN DESA ....'!F365</f>
        <v>1</v>
      </c>
      <c r="E67" s="62" t="str">
        <f>IF(D67=1,"Tidak Ada Penyelesaian Konflik Secara Damai",
IF(D67=3,"Ada Penyelesaian Konflik Tetapi Tidak Tuntas)",
IF(D67=5,"Ada Penyelesaian Konflik Secara Damai)","Tidak Teridentifikasi")))</f>
        <v>Tidak Ada Penyelesaian Konflik Secara Damai</v>
      </c>
      <c r="F67" s="61" t="str">
        <f>IF(D67=1,"Perlu Adanya Penyelesaian Konflik Secara Tuntas",
IF(D67=3,"Perlu Adanya Penyelesaian Konflik Secara Tuntas",
IF(D67=5,"","Tidak Teridentifikasi")))</f>
        <v>Perlu Adanya Penyelesaian Konflik Secara Tuntas</v>
      </c>
      <c r="G67" s="61"/>
      <c r="H67" s="61"/>
      <c r="I67" s="193" t="s">
        <v>1529</v>
      </c>
      <c r="J67" s="194" t="s">
        <v>1530</v>
      </c>
      <c r="K67" s="194" t="s">
        <v>1531</v>
      </c>
      <c r="L67" s="189" t="s">
        <v>1532</v>
      </c>
      <c r="M67" s="189" t="s">
        <v>1533</v>
      </c>
    </row>
    <row r="68" spans="1:13" s="73" customFormat="1" ht="60" x14ac:dyDescent="0.25">
      <c r="A68" s="161"/>
      <c r="B68" s="160" t="s">
        <v>139</v>
      </c>
      <c r="C68" s="156" t="s">
        <v>1534</v>
      </c>
      <c r="D68" s="62">
        <f>'INPUTAN DESA ....'!F366</f>
        <v>1</v>
      </c>
      <c r="E68" s="62" t="str">
        <f>IF(D68=1,"Tidak Ada Peranan Aparat Keamanan menjadi Mediator/ Penengah dalam Penyelesaian Konflik",
IF(D68=5,"Ada Peranan Aparat Keamanan menjadi Mediator/ Penengah dalam Penyelesaian Konflik","Tidak Teridentifikasi"))</f>
        <v>Tidak Ada Peranan Aparat Keamanan menjadi Mediator/ Penengah dalam Penyelesaian Konflik</v>
      </c>
      <c r="F68" s="61" t="str">
        <f>IF(D68=1,"Perlu Adanya Peran Aparat Keamanan menjadi Mediator/Penengah dalam Penyelesaian Konflik",
IF(D68=5,"","Tidak Teridentifikasi"))</f>
        <v>Perlu Adanya Peran Aparat Keamanan menjadi Mediator/Penengah dalam Penyelesaian Konflik</v>
      </c>
      <c r="G68" s="61"/>
      <c r="H68" s="61"/>
      <c r="I68" s="193" t="s">
        <v>1535</v>
      </c>
      <c r="J68" s="193" t="s">
        <v>1536</v>
      </c>
      <c r="K68" s="193" t="s">
        <v>1536</v>
      </c>
      <c r="L68" s="189" t="s">
        <v>1537</v>
      </c>
      <c r="M68" s="189" t="s">
        <v>1538</v>
      </c>
    </row>
    <row r="69" spans="1:13" s="73" customFormat="1" ht="90" x14ac:dyDescent="0.25">
      <c r="A69" s="161"/>
      <c r="B69" s="160" t="s">
        <v>251</v>
      </c>
      <c r="C69" s="156" t="s">
        <v>1539</v>
      </c>
      <c r="D69" s="62">
        <f>'INPUTAN DESA ....'!F367</f>
        <v>1</v>
      </c>
      <c r="E69" s="62" t="str">
        <f>IF(D69=1,"Tidak Ada Peranan Pemerintah menjadi Mediator/ Penengah dalam Penyelesaian Konflik",
IF(D69=5,"Ada Peranan Aparat Pemerintah menjadi Mediator/ Penengah dalam Penyelesaian Konflik","Tidak Teridentifikasi"))</f>
        <v>Tidak Ada Peranan Pemerintah menjadi Mediator/ Penengah dalam Penyelesaian Konflik</v>
      </c>
      <c r="F69" s="61" t="str">
        <f>IF(D69=1,"Perlu Adanya Peran Aparat Pemerintah menjadi Mediator/Penengah dalam Penyelesaian Konflik",
IF(D69=5,"","Tidak Teridentifikasi"))</f>
        <v>Perlu Adanya Peran Aparat Pemerintah menjadi Mediator/Penengah dalam Penyelesaian Konflik</v>
      </c>
      <c r="G69" s="61"/>
      <c r="H69" s="61"/>
      <c r="I69" s="193" t="s">
        <v>1540</v>
      </c>
      <c r="J69" s="193" t="s">
        <v>1541</v>
      </c>
      <c r="K69" s="193" t="s">
        <v>1542</v>
      </c>
      <c r="L69" s="189" t="s">
        <v>1543</v>
      </c>
      <c r="M69" s="189" t="s">
        <v>1544</v>
      </c>
    </row>
    <row r="70" spans="1:13" s="73" customFormat="1" ht="75" x14ac:dyDescent="0.25">
      <c r="A70" s="161"/>
      <c r="B70" s="160" t="s">
        <v>255</v>
      </c>
      <c r="C70" s="156" t="s">
        <v>1545</v>
      </c>
      <c r="D70" s="62">
        <f>'INPUTAN DESA ....'!F368</f>
        <v>1</v>
      </c>
      <c r="E70" s="62" t="str">
        <f>IF(D70=1,"Tidak Ada Peranan Tokoh Masyarakat menjadi Mediator/ Penengah dalam Penyelesaian Konflik",
IF(D70=5,"Ada Peranan Tokoh Masyarakat menjadi Mediator/ Penengah dalam Penyelesaian Konflik","Tidak Teridentifikasi"))</f>
        <v>Tidak Ada Peranan Tokoh Masyarakat menjadi Mediator/ Penengah dalam Penyelesaian Konflik</v>
      </c>
      <c r="F70" s="61" t="str">
        <f>IF(D70=1,"Perlu Adanya Peran Tokoh Masyarakat menjadi Mediator/Penengah dalam Penyelesaian Konflik",
IF(D70=5,"","Tidak Teridentifikasi"))</f>
        <v>Perlu Adanya Peran Tokoh Masyarakat menjadi Mediator/Penengah dalam Penyelesaian Konflik</v>
      </c>
      <c r="G70" s="61"/>
      <c r="H70" s="61"/>
      <c r="I70" s="193" t="s">
        <v>1546</v>
      </c>
      <c r="J70" s="193" t="s">
        <v>1547</v>
      </c>
      <c r="K70" s="193" t="s">
        <v>1548</v>
      </c>
      <c r="L70" s="189" t="s">
        <v>1543</v>
      </c>
      <c r="M70" s="189" t="s">
        <v>1549</v>
      </c>
    </row>
    <row r="71" spans="1:13" s="73" customFormat="1" ht="75" x14ac:dyDescent="0.25">
      <c r="A71" s="161"/>
      <c r="B71" s="160" t="s">
        <v>252</v>
      </c>
      <c r="C71" s="156" t="s">
        <v>1550</v>
      </c>
      <c r="D71" s="62">
        <f>'INPUTAN DESA ....'!F369</f>
        <v>1</v>
      </c>
      <c r="E71" s="62" t="str">
        <f>IF(D71=1,"Tidak Ada Peranan Tokoh Agama menjadi Mediator/ Penengah dalam Penyelesaian Konflik",
IF(D71=5,"Ada Peranan Tokoh Agama menjadi Mediator/ Penengah dalam Penyelesaian Konflik","Tidak Teridentifikasi"))</f>
        <v>Tidak Ada Peranan Tokoh Agama menjadi Mediator/ Penengah dalam Penyelesaian Konflik</v>
      </c>
      <c r="F71" s="61" t="str">
        <f>IF(D71=1,"Perlu Adanya Peran Tokoh Agama menjadi Mediator/Penengah dalam Penyelesaian Konflik",
IF(D71=5,"","Tidak Teridentifikasi"))</f>
        <v>Perlu Adanya Peran Tokoh Agama menjadi Mediator/Penengah dalam Penyelesaian Konflik</v>
      </c>
      <c r="G71" s="61"/>
      <c r="H71" s="61"/>
      <c r="I71" s="193" t="s">
        <v>1551</v>
      </c>
      <c r="J71" s="193" t="s">
        <v>1552</v>
      </c>
      <c r="K71" s="193" t="s">
        <v>1553</v>
      </c>
      <c r="L71" s="189" t="s">
        <v>1554</v>
      </c>
      <c r="M71" s="189" t="s">
        <v>1555</v>
      </c>
    </row>
    <row r="72" spans="1:13" ht="19.899999999999999" customHeight="1" x14ac:dyDescent="0.25">
      <c r="A72" s="1011">
        <v>18</v>
      </c>
      <c r="B72" s="1012"/>
      <c r="C72" s="153" t="s">
        <v>340</v>
      </c>
      <c r="D72" s="64">
        <f>SUM(D73,D74)</f>
        <v>7</v>
      </c>
      <c r="E72" s="76"/>
      <c r="F72" s="81"/>
      <c r="G72" s="81"/>
      <c r="H72" s="81"/>
      <c r="I72" s="177"/>
      <c r="J72" s="177"/>
      <c r="K72" s="177"/>
      <c r="L72" s="178"/>
      <c r="M72" s="179"/>
    </row>
    <row r="73" spans="1:13" s="73" customFormat="1" ht="60" x14ac:dyDescent="0.25">
      <c r="A73" s="161"/>
      <c r="B73" s="160" t="s">
        <v>41</v>
      </c>
      <c r="C73" s="156" t="s">
        <v>1556</v>
      </c>
      <c r="D73" s="62">
        <f>'INPUTAN DESA ....'!F371</f>
        <v>5</v>
      </c>
      <c r="E73" s="62" t="str">
        <f>IF(D73=1,"Tidak Ada Satuan Keamanan Lingkungan (Satkamling) di Desa",
IF(D73=5,"Ada Satuan Keamanan Lingkungan (Satkamling) di Desa","Tidak Teridentifikasi"))</f>
        <v>Ada Satuan Keamanan Lingkungan (Satkamling) di Desa</v>
      </c>
      <c r="F73" s="61" t="str">
        <f>IF(D73=1,"Perlu Pembentukan Satuan Keamanan Lingkungan (Satkamling) di Desa",
IF(D73=5,"","Tidak Teridentifikasi"))</f>
        <v/>
      </c>
      <c r="G73" s="61"/>
      <c r="H73" s="61"/>
      <c r="I73" s="193" t="s">
        <v>1557</v>
      </c>
      <c r="J73" s="193" t="s">
        <v>1558</v>
      </c>
      <c r="K73" s="193" t="s">
        <v>1558</v>
      </c>
      <c r="L73" s="189" t="s">
        <v>1559</v>
      </c>
      <c r="M73" s="189" t="s">
        <v>1560</v>
      </c>
    </row>
    <row r="74" spans="1:13" s="73" customFormat="1" ht="60" x14ac:dyDescent="0.25">
      <c r="A74" s="161"/>
      <c r="B74" s="160" t="s">
        <v>139</v>
      </c>
      <c r="C74" s="156" t="s">
        <v>1561</v>
      </c>
      <c r="D74" s="62">
        <f>'INPUTAN DESA ....'!F372</f>
        <v>2</v>
      </c>
      <c r="E74" s="61" t="str">
        <f>IF(D74=1,"Tidak Ada Aktivitas Satkamling di Desa",
IF(D74=2,"Terdapat 1 Kali Aktivitas Satkamling di Desa",
IF(D74=3,"Terdapat 2 Kali Aktivitas Satkamling di Desa",
IF(D74=4,"Terdapat 3 Kali Aktivitas Satkamling di Desa",
IF(D74=5,"Terdapat &gt;3 Kali Aktivitas Satkamling di Desa","Tidak Teridentifikasi")))))</f>
        <v>Terdapat 1 Kali Aktivitas Satkamling di Desa</v>
      </c>
      <c r="F74" s="61" t="str">
        <f>IF(D74=1,"Perlu Mengadakan Aktivitas Satuan Keamanan Lingkungan (Satkamling) di Desa",
IF(D74=2,"Perlu Meningkatkan Aktivitas Satuan Keamanan Lingkungan (Satkamling) di Desa",
IF(D74=3,"Perlu Meningkatkan Aktivitas Satuan Keamanan Lingkungan (Satkamling) di Desa",
IF(D74=4,"Perlu Meningkatkan Aktivitas Satuan Keamanan Lingkungan (Satkamling) di Desa",
IF(D74=5,"","Tidak Teridentifikasi")))))</f>
        <v>Perlu Meningkatkan Aktivitas Satuan Keamanan Lingkungan (Satkamling) di Desa</v>
      </c>
      <c r="G74" s="61"/>
      <c r="H74" s="61"/>
      <c r="I74" s="193" t="s">
        <v>1562</v>
      </c>
      <c r="J74" s="193" t="s">
        <v>1541</v>
      </c>
      <c r="K74" s="193" t="s">
        <v>1541</v>
      </c>
      <c r="L74" s="189" t="s">
        <v>1563</v>
      </c>
      <c r="M74" s="189" t="s">
        <v>1560</v>
      </c>
    </row>
    <row r="75" spans="1:13" ht="19.899999999999999" customHeight="1" x14ac:dyDescent="0.25">
      <c r="A75" s="1011" t="s">
        <v>343</v>
      </c>
      <c r="B75" s="1012"/>
      <c r="C75" s="152" t="s">
        <v>344</v>
      </c>
      <c r="D75" s="60">
        <f>SUM(D76,D79,D81)</f>
        <v>10</v>
      </c>
      <c r="E75" s="67"/>
      <c r="F75" s="68"/>
      <c r="G75" s="68"/>
      <c r="H75" s="68"/>
      <c r="I75" s="180"/>
      <c r="J75" s="180"/>
      <c r="K75" s="180"/>
      <c r="L75" s="181"/>
      <c r="M75" s="182"/>
    </row>
    <row r="76" spans="1:13" ht="19.899999999999999" customHeight="1" x14ac:dyDescent="0.25">
      <c r="A76" s="1011">
        <v>19</v>
      </c>
      <c r="B76" s="1012"/>
      <c r="C76" s="153" t="s">
        <v>345</v>
      </c>
      <c r="D76" s="64">
        <f>SUM(D77,D78)</f>
        <v>8</v>
      </c>
      <c r="E76" s="79"/>
      <c r="F76" s="80"/>
      <c r="G76" s="80"/>
      <c r="H76" s="80"/>
      <c r="I76" s="183"/>
      <c r="J76" s="183"/>
      <c r="K76" s="183"/>
      <c r="L76" s="184"/>
      <c r="M76" s="185"/>
    </row>
    <row r="77" spans="1:13" s="73" customFormat="1" ht="120" x14ac:dyDescent="0.25">
      <c r="A77" s="161"/>
      <c r="B77" s="160" t="s">
        <v>41</v>
      </c>
      <c r="C77" s="163" t="s">
        <v>1564</v>
      </c>
      <c r="D77" s="62">
        <f>'INPUTAN DESA ....'!F375</f>
        <v>5</v>
      </c>
      <c r="E77" s="62" t="str">
        <f>IF(D77=1,"Tidak Ada Taman Bacaan Masyarakat/ Perpustakaan Desa",
IF(D77=5,"Ada Taman Bacaan Masyarakat/ Perpustakaan Desa","Tidak Teridentifikasi"))</f>
        <v>Ada Taman Bacaan Masyarakat/ Perpustakaan Desa</v>
      </c>
      <c r="F77" s="61" t="str">
        <f>IF(D77=1,"Perlu Pembentukan Taman Bacaan Masyarakat/ Perpustakaan di Desa",
IF(D77=5,"","Tidak Teridentifikasi"))</f>
        <v/>
      </c>
      <c r="G77" s="61"/>
      <c r="H77" s="61"/>
      <c r="I77" s="193" t="s">
        <v>1565</v>
      </c>
      <c r="J77" s="193" t="s">
        <v>1566</v>
      </c>
      <c r="K77" s="193" t="s">
        <v>1567</v>
      </c>
      <c r="L77" s="189" t="s">
        <v>1568</v>
      </c>
      <c r="M77" s="189" t="s">
        <v>1569</v>
      </c>
    </row>
    <row r="78" spans="1:13" s="73" customFormat="1" ht="105" x14ac:dyDescent="0.25">
      <c r="A78" s="161"/>
      <c r="B78" s="160" t="s">
        <v>139</v>
      </c>
      <c r="C78" s="156" t="s">
        <v>1570</v>
      </c>
      <c r="D78" s="62">
        <f>'INPUTAN DESA ....'!F376</f>
        <v>3</v>
      </c>
      <c r="E78" s="61" t="str">
        <f>IF(D78=1,"Tidak Beroperasi Taman Bacaan Masyarakat/ Perpustakaan Desa",
IF(D78=2,"Taman Bacaan Masyarakat/ Perpustakaan Desa Beroperasi Selama 1 Hari",
IF(D78=3,"Taman Bacaan Masyarakat/ Perpustakaan Desa Beroperasi Selama 2-3 Hari",
IF(D78=4,"Taman Bacaan Masyarakat/ Perpustakaan Desa Beroperasi Selama 4-5 Hari",
IF(D78=5,"Taman Bacaan Masyarakat/ Perpustakaan Desa Beroperasi Selama 6-7 Hari","Tidak Teridentifikasi")))))</f>
        <v>Taman Bacaan Masyarakat/ Perpustakaan Desa Beroperasi Selama 2-3 Hari</v>
      </c>
      <c r="F78" s="61" t="str">
        <f>IF(D78=1,"Perlu Peningkatan Operasional Taman Bacaan Masyarakat/ Perpustakaan Desa",
IF(D78=2,"Perlu Penambahan Hari Operasional Taman Bacaan Masyarakat/ Perpustakaan Desa",
IF(D78=3,"Perlu Penambahan Hari Operasional Taman Bacaan Masyarakat/ Perpustakaan Desa",
IF(D78=4,"Perlu Penambahan Hari Operasional Taman Bacaan Masyarakat/ Perpustakaan Desa",
IF(D78=5,"","Tidak Teridentifikasi")))))</f>
        <v>Perlu Penambahan Hari Operasional Taman Bacaan Masyarakat/ Perpustakaan Desa</v>
      </c>
      <c r="G78" s="61"/>
      <c r="H78" s="61"/>
      <c r="I78" s="193" t="s">
        <v>1571</v>
      </c>
      <c r="J78" s="193" t="s">
        <v>1566</v>
      </c>
      <c r="K78" s="193" t="s">
        <v>1567</v>
      </c>
      <c r="L78" s="189" t="s">
        <v>1568</v>
      </c>
      <c r="M78" s="189" t="s">
        <v>1569</v>
      </c>
    </row>
    <row r="79" spans="1:13" ht="19.899999999999999" customHeight="1" x14ac:dyDescent="0.25">
      <c r="A79" s="1011">
        <v>20</v>
      </c>
      <c r="B79" s="1012"/>
      <c r="C79" s="153" t="s">
        <v>347</v>
      </c>
      <c r="D79" s="64">
        <f>SUM(D80)</f>
        <v>1</v>
      </c>
      <c r="E79" s="64"/>
      <c r="F79" s="64"/>
      <c r="G79" s="64"/>
      <c r="H79" s="64"/>
      <c r="I79" s="195"/>
      <c r="J79" s="195"/>
      <c r="K79" s="195"/>
      <c r="L79" s="196"/>
      <c r="M79" s="196"/>
    </row>
    <row r="80" spans="1:13" s="73" customFormat="1" ht="75" x14ac:dyDescent="0.25">
      <c r="A80" s="161"/>
      <c r="B80" s="160" t="s">
        <v>41</v>
      </c>
      <c r="C80" s="156" t="s">
        <v>1572</v>
      </c>
      <c r="D80" s="61">
        <f>'INPUTAN DESA ....'!F378</f>
        <v>1</v>
      </c>
      <c r="E80" s="61" t="str">
        <f>IF(D80=1,"Rata-rata Tidak Terdapat Fasilitas Olahraga di Desa",
IF(D80=2,"Rata-rata Kondisi/ Keadaan Sebagian Besar Fasilitas Olahraga di Desa dalam Kondisi Rusak Parah",
IF(D80=3,"Rata-rata Kondisi/ Keadaan Sebagian Besar Fasilitas Olahraga di Desa dalam Kondisi Rusak Sedang",
IF(D80=4,"Rata-rata Kondisi/ Keadaan Sebagian Besar Fasilitas Olahraga di Desa dalam Kondisi Rusak Ringan",
IF(D80=5,"Rata-rata Kondisi/ Keadaan Sebagian Besar Fasilitas Olahraga di Desa dalam Kondisi Baik","Tidak Teridentifikasi")))))</f>
        <v>Rata-rata Tidak Terdapat Fasilitas Olahraga di Desa</v>
      </c>
      <c r="F80" s="61" t="str">
        <f>IF(D80=1,"Perlu Pengadaan Fasilitas Lapangan Olahraga",
IF(D80=2,"Perlu Melakukan Rekonstruksi Fasilitas Lapangan Olahraga",
IF(D80=3,"Perlu Melakukan Renovasi Fasilitas Lapangan Olahraga",
IF(D80=4,"Perlu Melakukan Renovasi Ringan Fasilitas Lapangan Olahraga",
IF(D80=5,"","Tidak Teridentifikasi")))))</f>
        <v>Perlu Pengadaan Fasilitas Lapangan Olahraga</v>
      </c>
      <c r="G80" s="61"/>
      <c r="H80" s="61"/>
      <c r="I80" s="193" t="s">
        <v>1573</v>
      </c>
      <c r="J80" s="193" t="s">
        <v>1574</v>
      </c>
      <c r="K80" s="193" t="s">
        <v>1575</v>
      </c>
      <c r="L80" s="189" t="s">
        <v>1576</v>
      </c>
      <c r="M80" s="189" t="s">
        <v>1577</v>
      </c>
    </row>
    <row r="81" spans="1:13" ht="19.899999999999999" customHeight="1" x14ac:dyDescent="0.25">
      <c r="A81" s="1011">
        <v>21</v>
      </c>
      <c r="B81" s="1012"/>
      <c r="C81" s="153" t="s">
        <v>349</v>
      </c>
      <c r="D81" s="64">
        <f>SUM(D82)</f>
        <v>1</v>
      </c>
      <c r="E81" s="76"/>
      <c r="F81" s="81"/>
      <c r="G81" s="81"/>
      <c r="H81" s="81"/>
      <c r="I81" s="177"/>
      <c r="J81" s="177"/>
      <c r="K81" s="177"/>
      <c r="L81" s="178"/>
      <c r="M81" s="179"/>
    </row>
    <row r="82" spans="1:13" s="73" customFormat="1" ht="90" x14ac:dyDescent="0.25">
      <c r="A82" s="161"/>
      <c r="B82" s="160" t="s">
        <v>41</v>
      </c>
      <c r="C82" s="156" t="s">
        <v>1578</v>
      </c>
      <c r="D82" s="61">
        <f>'INPUTAN DESA ....'!F389</f>
        <v>1</v>
      </c>
      <c r="E82" s="61" t="str">
        <f>IF(D82=1,"Rata-rata Tidak Terdapat Fasilitas Ruang Publik Terbuka di Desa",
IF(D82=2,"Rata-rata Kondisi/ Keadaan Sebagian Besar Fasilitas Ruang Publik Terbuka di Desa dalam Kondisi Rusak Parah",
IF(D82=3,"Rata-rata Kondisi/ Keadaan Sebagian Besar Fasilitas Ruang Publik Terbuka  di Desa dalam Kondisi Rusak Sedang",
IF(D82=4,"Rata-rata Kondisi/ Keadaan Sebagian Besar Fasilitas Ruang Publik Terbuka di Desa dalam Kondisi Rusak Ringan",
IF(D82=5,"Rata-rata Kondisi/ Keadaan Sebagian Besar Fasilitas Ruang Publik Terbuka di Desa dalam Kondisi Baik","Tidak Teridentifikasi")))))</f>
        <v>Rata-rata Tidak Terdapat Fasilitas Ruang Publik Terbuka di Desa</v>
      </c>
      <c r="F82" s="61" t="str">
        <f>IF(D82=1,"Perlu Pengadaan Fasilitas Ruang Publik Terbuka",
IF(D82=2,"Perlu Melakukan Rekonstruksi Fasilitas Ruang Publik Terbuka",
IF(D82=3,"Perlu Melakukan Renovasi Fasilitas Ruang Publik Terbuka",
IF(D82=4,"Perlu Melakukan Renovasi Ringan Fasilitas Ruang Publik Terbuka",
IF(D82=5,"","Tidak Teridentifikasi")))))</f>
        <v>Perlu Pengadaan Fasilitas Ruang Publik Terbuka</v>
      </c>
      <c r="G82" s="61"/>
      <c r="H82" s="61"/>
      <c r="I82" s="193" t="s">
        <v>1579</v>
      </c>
      <c r="J82" s="193" t="s">
        <v>1580</v>
      </c>
      <c r="K82" s="193" t="s">
        <v>1580</v>
      </c>
      <c r="L82" s="189" t="s">
        <v>1554</v>
      </c>
      <c r="M82" s="189" t="s">
        <v>1581</v>
      </c>
    </row>
    <row r="83" spans="1:13" ht="19.899999999999999" customHeight="1" x14ac:dyDescent="0.25">
      <c r="A83" s="1011">
        <v>3</v>
      </c>
      <c r="B83" s="1012"/>
      <c r="C83" s="152" t="s">
        <v>353</v>
      </c>
      <c r="D83" s="60">
        <f>SUM(D84,D97)</f>
        <v>83</v>
      </c>
      <c r="E83" s="67"/>
      <c r="F83" s="68"/>
      <c r="G83" s="68"/>
      <c r="H83" s="68"/>
      <c r="I83" s="180"/>
      <c r="J83" s="180"/>
      <c r="K83" s="180"/>
      <c r="L83" s="181"/>
      <c r="M83" s="182"/>
    </row>
    <row r="84" spans="1:13" ht="19.899999999999999" customHeight="1" x14ac:dyDescent="0.25">
      <c r="A84" s="1011" t="s">
        <v>354</v>
      </c>
      <c r="B84" s="1012"/>
      <c r="C84" s="152" t="s">
        <v>355</v>
      </c>
      <c r="D84" s="60">
        <f>SUM(D85,D88,D92,D94)</f>
        <v>24</v>
      </c>
      <c r="E84" s="69"/>
      <c r="F84" s="70"/>
      <c r="G84" s="70"/>
      <c r="H84" s="70"/>
      <c r="I84" s="190"/>
      <c r="J84" s="190"/>
      <c r="K84" s="190"/>
      <c r="L84" s="191"/>
      <c r="M84" s="192"/>
    </row>
    <row r="85" spans="1:13" ht="19.899999999999999" customHeight="1" x14ac:dyDescent="0.25">
      <c r="A85" s="1011">
        <v>22</v>
      </c>
      <c r="B85" s="1012"/>
      <c r="C85" s="153" t="s">
        <v>356</v>
      </c>
      <c r="D85" s="60">
        <f>SUM(D86,D87)</f>
        <v>6</v>
      </c>
      <c r="E85" s="71"/>
      <c r="F85" s="72"/>
      <c r="G85" s="72"/>
      <c r="H85" s="72"/>
      <c r="I85" s="183"/>
      <c r="J85" s="183"/>
      <c r="K85" s="183"/>
      <c r="L85" s="184"/>
      <c r="M85" s="185"/>
    </row>
    <row r="86" spans="1:13" s="73" customFormat="1" ht="120" x14ac:dyDescent="0.25">
      <c r="A86" s="161"/>
      <c r="B86" s="160" t="s">
        <v>41</v>
      </c>
      <c r="C86" s="156" t="s">
        <v>1582</v>
      </c>
      <c r="D86" s="62">
        <f>'INPUTAN DESA ....'!F401</f>
        <v>1</v>
      </c>
      <c r="E86" s="62" t="str">
        <f>IF(D86=1,"Terdapat 1 Keragaman Sektor/ Aktivitas Ekonomi",
IF(D86=3,"Terdapat 2 Keragaman Sektor/ Aktivitas Ekonomi",
IF(D86=5,"Terdapat &gt;2 Keragaman Sektor/ Aktivitas Ekonomi","Tidak Teridentifikasi")))</f>
        <v>Terdapat 1 Keragaman Sektor/ Aktivitas Ekonomi</v>
      </c>
      <c r="F86" s="61" t="str">
        <f>IF(D86=1,"Perlu Penambahan Keragaman Aktivitas Ekonomi",
IF(D86=3,"Perlu Penambahan Keragaman Aktivitas Ekonomi",
IF(D86=5,"","Tidak Teridentifikasi")))</f>
        <v>Perlu Penambahan Keragaman Aktivitas Ekonomi</v>
      </c>
      <c r="G86" s="61"/>
      <c r="H86" s="61"/>
      <c r="I86" s="193" t="s">
        <v>1583</v>
      </c>
      <c r="J86" s="193" t="s">
        <v>1584</v>
      </c>
      <c r="K86" s="193" t="s">
        <v>1585</v>
      </c>
      <c r="L86" s="189" t="s">
        <v>1586</v>
      </c>
      <c r="M86" s="189" t="s">
        <v>1587</v>
      </c>
    </row>
    <row r="87" spans="1:13" s="73" customFormat="1" ht="135" x14ac:dyDescent="0.25">
      <c r="A87" s="162"/>
      <c r="B87" s="160" t="s">
        <v>139</v>
      </c>
      <c r="C87" s="163" t="s">
        <v>1588</v>
      </c>
      <c r="D87" s="62">
        <f>'INPUTAN DESA ....'!F402</f>
        <v>5</v>
      </c>
      <c r="E87" s="62" t="str">
        <f>IF(D87=1,"Keaktifan Aktivitas Ekonomi di Desa Tidak Aktif (Tidak Memiliki Produk/ Jasa yang Dihasilkan)",
IF(D87=5,"Keaktifan Aktivitas Ekonomi di Desa Aktif (Memiliki Produk/ Jasa yang Dihasilkan)","Tidak Teridentifikasi"))</f>
        <v>Keaktifan Aktivitas Ekonomi di Desa Aktif (Memiliki Produk/ Jasa yang Dihasilkan)</v>
      </c>
      <c r="F87" s="61" t="str">
        <f>IF(D87=1,"Perlu Menghasilkan Produk/Jasa yang dihasilkan Desa",
IF(D87=5,"","Tidak Teridentifikasi"))</f>
        <v/>
      </c>
      <c r="G87" s="61"/>
      <c r="H87" s="61"/>
      <c r="I87" s="193" t="s">
        <v>1589</v>
      </c>
      <c r="J87" s="193" t="s">
        <v>1590</v>
      </c>
      <c r="K87" s="193" t="s">
        <v>1591</v>
      </c>
      <c r="L87" s="189" t="s">
        <v>1592</v>
      </c>
      <c r="M87" s="189" t="s">
        <v>1593</v>
      </c>
    </row>
    <row r="88" spans="1:13" ht="19.899999999999999" customHeight="1" x14ac:dyDescent="0.25">
      <c r="A88" s="1011">
        <v>23</v>
      </c>
      <c r="B88" s="1012"/>
      <c r="C88" s="153" t="s">
        <v>358</v>
      </c>
      <c r="D88" s="64">
        <f>SUM(D89,D90,D91)</f>
        <v>11</v>
      </c>
      <c r="E88" s="76"/>
      <c r="F88" s="81"/>
      <c r="G88" s="81"/>
      <c r="H88" s="81"/>
      <c r="I88" s="177"/>
      <c r="J88" s="177"/>
      <c r="K88" s="177"/>
      <c r="L88" s="178"/>
      <c r="M88" s="179"/>
    </row>
    <row r="89" spans="1:13" s="73" customFormat="1" ht="105" x14ac:dyDescent="0.25">
      <c r="A89" s="161"/>
      <c r="B89" s="160" t="s">
        <v>41</v>
      </c>
      <c r="C89" s="163" t="s">
        <v>1594</v>
      </c>
      <c r="D89" s="62">
        <f>'INPUTAN DESA ....'!F404</f>
        <v>5</v>
      </c>
      <c r="E89" s="62" t="str">
        <f>IF(D89=1,"Tidak Ada Produk Unggulan Desa",
IF(D89=5,"Ada Produk Unggulan Desa","Tidak Teridentifikasi"))</f>
        <v>Ada Produk Unggulan Desa</v>
      </c>
      <c r="F89" s="61" t="str">
        <f>IF(D89=1,"Perlu Memiliki Produk Unggulan Desa",
IF(D89=5,"","Tidak Teridentifikasi"))</f>
        <v/>
      </c>
      <c r="G89" s="61"/>
      <c r="H89" s="61"/>
      <c r="I89" s="193" t="s">
        <v>1595</v>
      </c>
      <c r="J89" s="193" t="s">
        <v>1596</v>
      </c>
      <c r="K89" s="193" t="s">
        <v>1596</v>
      </c>
      <c r="L89" s="189" t="s">
        <v>1597</v>
      </c>
      <c r="M89" s="189" t="s">
        <v>1598</v>
      </c>
    </row>
    <row r="90" spans="1:13" s="73" customFormat="1" ht="75" x14ac:dyDescent="0.25">
      <c r="A90" s="161"/>
      <c r="B90" s="160" t="s">
        <v>139</v>
      </c>
      <c r="C90" s="156" t="s">
        <v>1599</v>
      </c>
      <c r="D90" s="62">
        <f>'INPUTAN DESA ....'!F405</f>
        <v>5</v>
      </c>
      <c r="E90" s="62" t="str">
        <f>IF(D90=1,"Cakupan Penjualan Produk Unggulan Desa Masih di Dalam Desa",
IF(D90=5,"Cakupan Penjualan Produk Unggulan Desa Sampai ke Luar Desa","Tidak Teridentifikasi"))</f>
        <v>Cakupan Penjualan Produk Unggulan Desa Sampai ke Luar Desa</v>
      </c>
      <c r="F90" s="61" t="str">
        <f>IF(D90=1,"Perlu Pemasaran Produk Hingga ke luar Desa",
IF(D90=5,"","Tidak Teridentifikasi"))</f>
        <v/>
      </c>
      <c r="G90" s="61"/>
      <c r="H90" s="61"/>
      <c r="I90" s="193" t="s">
        <v>1600</v>
      </c>
      <c r="J90" s="193" t="s">
        <v>1601</v>
      </c>
      <c r="K90" s="193" t="s">
        <v>1602</v>
      </c>
      <c r="L90" s="189" t="s">
        <v>1603</v>
      </c>
      <c r="M90" s="189" t="s">
        <v>1604</v>
      </c>
    </row>
    <row r="91" spans="1:13" s="73" customFormat="1" ht="90" x14ac:dyDescent="0.25">
      <c r="A91" s="161"/>
      <c r="B91" s="160" t="s">
        <v>251</v>
      </c>
      <c r="C91" s="156" t="s">
        <v>1605</v>
      </c>
      <c r="D91" s="62">
        <f>'INPUTAN DESA ....'!F406</f>
        <v>1</v>
      </c>
      <c r="E91" s="62" t="str">
        <f>IF(D91=1,"Merek Dagang Produk Unggulan Desa Tidak Terdaftar",
IF(D91=5,"Merek Dagang Produk Unggulan Desa Sudah Terdaftar","Tidak Teridentifikasi"))</f>
        <v>Merek Dagang Produk Unggulan Desa Tidak Terdaftar</v>
      </c>
      <c r="F91" s="61" t="str">
        <f>IF(D91=1,"Perlu Membentuk Merek Dagang yang Sudah Terdaftar",
IF(D91=5,"","Tidak Teridentifikasi"))</f>
        <v>Perlu Membentuk Merek Dagang yang Sudah Terdaftar</v>
      </c>
      <c r="G91" s="61"/>
      <c r="H91" s="61"/>
      <c r="I91" s="193" t="s">
        <v>1606</v>
      </c>
      <c r="J91" s="193" t="s">
        <v>1607</v>
      </c>
      <c r="K91" s="193" t="s">
        <v>1608</v>
      </c>
      <c r="L91" s="189" t="s">
        <v>1597</v>
      </c>
      <c r="M91" s="189" t="s">
        <v>1604</v>
      </c>
    </row>
    <row r="92" spans="1:13" ht="19.899999999999999" customHeight="1" x14ac:dyDescent="0.25">
      <c r="A92" s="1011">
        <v>24</v>
      </c>
      <c r="B92" s="1012"/>
      <c r="C92" s="153" t="s">
        <v>362</v>
      </c>
      <c r="D92" s="64">
        <f>SUM(D93)</f>
        <v>5</v>
      </c>
      <c r="E92" s="76"/>
      <c r="F92" s="81"/>
      <c r="G92" s="81"/>
      <c r="H92" s="81"/>
      <c r="I92" s="177"/>
      <c r="J92" s="177"/>
      <c r="K92" s="177"/>
      <c r="L92" s="178"/>
      <c r="M92" s="179"/>
    </row>
    <row r="93" spans="1:13" s="73" customFormat="1" ht="90" x14ac:dyDescent="0.25">
      <c r="A93" s="161"/>
      <c r="B93" s="160" t="s">
        <v>41</v>
      </c>
      <c r="C93" s="156" t="s">
        <v>1609</v>
      </c>
      <c r="D93" s="62">
        <f>'INPUTAN DESA ....'!F408</f>
        <v>5</v>
      </c>
      <c r="E93" s="62" t="str">
        <f>IF(D93=1,"Tidak Terdapat Kearifan Lokal atau Kebudayaan Lokal yang dijadikan Sebagai Kegiatan Ekonomi dalam Menunjang Penghidupan Masyarakat di Desa",
IF(D93=5,"Ada Kearifan Lokal atau Kebudayaan Lokal yang dijadikan Sebagai Kegiatan Ekonomi dalam Menunjang Penghidupan Masyarakat di Desa","Tidak Teridentifikasi"))</f>
        <v>Ada Kearifan Lokal atau Kebudayaan Lokal yang dijadikan Sebagai Kegiatan Ekonomi dalam Menunjang Penghidupan Masyarakat di Desa</v>
      </c>
      <c r="F93" s="61" t="str">
        <f>IF(D93=1,"Menjadikan Kearifan Lokal/ Kebudayaan Lokal sebagai Penunjang Kegiatan Ekonomi Desa",
IF(D93=5,"","Tidak Teridentifikasi"))</f>
        <v/>
      </c>
      <c r="G93" s="61"/>
      <c r="H93" s="61"/>
      <c r="I93" s="193" t="s">
        <v>1610</v>
      </c>
      <c r="J93" s="193" t="s">
        <v>1611</v>
      </c>
      <c r="K93" s="193" t="s">
        <v>1612</v>
      </c>
      <c r="L93" s="189" t="s">
        <v>1613</v>
      </c>
      <c r="M93" s="189" t="s">
        <v>1604</v>
      </c>
    </row>
    <row r="94" spans="1:13" ht="19.899999999999999" customHeight="1" x14ac:dyDescent="0.25">
      <c r="A94" s="1011">
        <v>25</v>
      </c>
      <c r="B94" s="1012"/>
      <c r="C94" s="158" t="s">
        <v>119</v>
      </c>
      <c r="D94" s="64">
        <f>SUM(D95,D96)</f>
        <v>2</v>
      </c>
      <c r="E94" s="76"/>
      <c r="F94" s="81"/>
      <c r="G94" s="81"/>
      <c r="H94" s="81"/>
      <c r="I94" s="177"/>
      <c r="J94" s="177"/>
      <c r="K94" s="177"/>
      <c r="L94" s="178"/>
      <c r="M94" s="179"/>
    </row>
    <row r="95" spans="1:13" s="73" customFormat="1" ht="60" x14ac:dyDescent="0.25">
      <c r="A95" s="161"/>
      <c r="B95" s="160" t="s">
        <v>41</v>
      </c>
      <c r="C95" s="156" t="s">
        <v>1614</v>
      </c>
      <c r="D95" s="62">
        <f>'INPUTAN DESA ....'!F411</f>
        <v>1</v>
      </c>
      <c r="E95" s="62" t="str">
        <f>IF(D95=1,"Belum dilakukannya Kerjasama Desa dengan Desa Lainnya",
IF(D95=5,"Sudah Ada Kerjasama Desa dengan Desa Lainnya","Tidak Teridentifikasi"))</f>
        <v>Belum dilakukannya Kerjasama Desa dengan Desa Lainnya</v>
      </c>
      <c r="F95" s="61" t="str">
        <f>IF(D95=1,"Perlu Menjalin Hubungan Kerjasama dengan Desa Lainnya",
IF(D95=5,"","Tidak Teridentifikasi"))</f>
        <v>Perlu Menjalin Hubungan Kerjasama dengan Desa Lainnya</v>
      </c>
      <c r="G95" s="61"/>
      <c r="H95" s="61"/>
      <c r="I95" s="193" t="s">
        <v>1615</v>
      </c>
      <c r="J95" s="193" t="s">
        <v>1616</v>
      </c>
      <c r="K95" s="193" t="s">
        <v>1617</v>
      </c>
      <c r="L95" s="189" t="s">
        <v>1618</v>
      </c>
      <c r="M95" s="189" t="s">
        <v>1604</v>
      </c>
    </row>
    <row r="96" spans="1:13" s="73" customFormat="1" ht="61.15" customHeight="1" x14ac:dyDescent="0.25">
      <c r="A96" s="161"/>
      <c r="B96" s="160" t="s">
        <v>139</v>
      </c>
      <c r="C96" s="156" t="s">
        <v>1619</v>
      </c>
      <c r="D96" s="62">
        <f>'INPUTAN DESA ....'!F412</f>
        <v>1</v>
      </c>
      <c r="E96" s="62" t="str">
        <f>IF(D96=1,"Belum dilakukannya Kerjasama Desa dengan Pihak Ketiga",
IF(D96=5,"Sudah Ada Kerjasama Desa dengan Pihak Ketiga","Tidak Teridentifikasi"))</f>
        <v>Belum dilakukannya Kerjasama Desa dengan Pihak Ketiga</v>
      </c>
      <c r="F96" s="61" t="str">
        <f>IF(D96=1,"Perlu Menjalin Hubungan Kerjasama dengan Pihak Ketiga",
IF(D96=5,"","Tidak Teridentifikasi"))</f>
        <v>Perlu Menjalin Hubungan Kerjasama dengan Pihak Ketiga</v>
      </c>
      <c r="G96" s="61"/>
      <c r="H96" s="61"/>
      <c r="I96" s="193"/>
      <c r="J96" s="193"/>
      <c r="K96" s="193"/>
      <c r="L96" s="189"/>
      <c r="M96" s="189"/>
    </row>
    <row r="97" spans="1:13" ht="105" x14ac:dyDescent="0.25">
      <c r="A97" s="1011" t="s">
        <v>366</v>
      </c>
      <c r="B97" s="1012"/>
      <c r="C97" s="152" t="s">
        <v>367</v>
      </c>
      <c r="D97" s="60">
        <f>SUM(D98,D101,D104,D107,D110,D113,D116,D123)</f>
        <v>59</v>
      </c>
      <c r="E97" s="67"/>
      <c r="F97" s="68"/>
      <c r="G97" s="68"/>
      <c r="H97" s="68"/>
      <c r="I97" s="193" t="s">
        <v>1620</v>
      </c>
      <c r="J97" s="193" t="s">
        <v>1621</v>
      </c>
      <c r="K97" s="193" t="s">
        <v>1622</v>
      </c>
      <c r="L97" s="189" t="s">
        <v>1618</v>
      </c>
      <c r="M97" s="189" t="s">
        <v>1604</v>
      </c>
    </row>
    <row r="98" spans="1:13" ht="19.899999999999999" customHeight="1" x14ac:dyDescent="0.25">
      <c r="A98" s="1011">
        <v>26</v>
      </c>
      <c r="B98" s="1012"/>
      <c r="C98" s="153" t="s">
        <v>368</v>
      </c>
      <c r="D98" s="60">
        <f>SUM(D99,D100)</f>
        <v>2</v>
      </c>
      <c r="E98" s="71"/>
      <c r="F98" s="72"/>
      <c r="G98" s="72"/>
      <c r="H98" s="72"/>
      <c r="I98" s="183"/>
      <c r="J98" s="183"/>
      <c r="K98" s="183"/>
      <c r="L98" s="184"/>
      <c r="M98" s="185"/>
    </row>
    <row r="99" spans="1:13" s="73" customFormat="1" ht="90" x14ac:dyDescent="0.25">
      <c r="A99" s="161"/>
      <c r="B99" s="160" t="s">
        <v>41</v>
      </c>
      <c r="C99" s="163" t="s">
        <v>1623</v>
      </c>
      <c r="D99" s="92">
        <f>'INPUTAN DESA ....'!F414</f>
        <v>1</v>
      </c>
      <c r="E99" s="62" t="str">
        <f>IF(D99=1,"Tidak Tersedia Pendidikan Non-Formal/ Pusat Keterampilan/ Kursus di Desa",
IF(D99=5,"Ada Tersedia Pendidikan Non-Formal/ Pusat Keterampilan/ Kursus di Desa","Tidak Teridentifikasi"))</f>
        <v>Tidak Tersedia Pendidikan Non-Formal/ Pusat Keterampilan/ Kursus di Desa</v>
      </c>
      <c r="F99" s="61" t="str">
        <f>IF(D99=1,"Perlu Menyediakan Pendidikan Non-Formal/Pusat Keterampilan/Kursus",
IF(D99=5,"","Tidak Teridentifikasi"))</f>
        <v>Perlu Menyediakan Pendidikan Non-Formal/Pusat Keterampilan/Kursus</v>
      </c>
      <c r="G99" s="61"/>
      <c r="H99" s="61"/>
      <c r="I99" s="193" t="s">
        <v>1624</v>
      </c>
      <c r="J99" s="193" t="s">
        <v>1625</v>
      </c>
      <c r="K99" s="193" t="s">
        <v>1626</v>
      </c>
      <c r="L99" s="189" t="s">
        <v>1618</v>
      </c>
      <c r="M99" s="189" t="s">
        <v>1604</v>
      </c>
    </row>
    <row r="100" spans="1:13" s="73" customFormat="1" ht="75" x14ac:dyDescent="0.25">
      <c r="A100" s="161"/>
      <c r="B100" s="160" t="s">
        <v>139</v>
      </c>
      <c r="C100" s="163" t="s">
        <v>1627</v>
      </c>
      <c r="D100" s="62">
        <f>'INPUTAN DESA ....'!F415</f>
        <v>1</v>
      </c>
      <c r="E100" s="62" t="str">
        <f>IF(D100=1,"Pendidikan Non-Formal/ Pusat Keterampilan/ Kursus Tidak Aktif",
IF(D100=3,"Pendidikan Non-Formal/ Pusat Keterampilan/ Kursus Melibatkan Sebagian Kecil/ &lt;50% Angkatan Kerja yang Tidak Bekerja di Desa",
IF(D100=5,"Pendidikan Non-Formal/ Pusat Keterampilan/ Kursus Melibatkan Sebagian Besar/ &gt;=50% Angkatan Kerja yang Tidak Bekerja di Desa","Tidak Teridentifikasi")))</f>
        <v>Pendidikan Non-Formal/ Pusat Keterampilan/ Kursus Tidak Aktif</v>
      </c>
      <c r="F100" s="61" t="str">
        <f>IF(D100=1,"Perlu Adanya Operasional Pendidikan Non-Formal/Pusat Keterampilan/Kursus",
IF(D100=3,"Perlu Melibatkan Sebagian Besar Angkatan Kerja yang Ada di Desa pada Pendidikan Non-Formal/Pusat Keterampilan/Kursus",
IF(D100=5,"","Tidak Teridentifikasi")))</f>
        <v>Perlu Adanya Operasional Pendidikan Non-Formal/Pusat Keterampilan/Kursus</v>
      </c>
      <c r="G100" s="61"/>
      <c r="H100" s="61"/>
      <c r="I100" s="193" t="s">
        <v>1628</v>
      </c>
      <c r="J100" s="193" t="s">
        <v>1629</v>
      </c>
      <c r="K100" s="193" t="s">
        <v>1630</v>
      </c>
      <c r="L100" s="189" t="s">
        <v>1631</v>
      </c>
      <c r="M100" s="189" t="s">
        <v>1604</v>
      </c>
    </row>
    <row r="101" spans="1:13" ht="19.899999999999999" customHeight="1" x14ac:dyDescent="0.25">
      <c r="A101" s="1011">
        <v>27</v>
      </c>
      <c r="B101" s="1012"/>
      <c r="C101" s="153" t="s">
        <v>372</v>
      </c>
      <c r="D101" s="64">
        <f>SUM(D102,D103)</f>
        <v>3</v>
      </c>
      <c r="E101" s="76"/>
      <c r="F101" s="81"/>
      <c r="G101" s="81"/>
      <c r="H101" s="81"/>
      <c r="I101" s="177"/>
      <c r="J101" s="177"/>
      <c r="K101" s="177"/>
      <c r="L101" s="178"/>
      <c r="M101" s="179"/>
    </row>
    <row r="102" spans="1:13" s="73" customFormat="1" ht="150" x14ac:dyDescent="0.25">
      <c r="A102" s="161"/>
      <c r="B102" s="160" t="s">
        <v>41</v>
      </c>
      <c r="C102" s="156" t="s">
        <v>1632</v>
      </c>
      <c r="D102" s="62">
        <f>'INPUTAN DESA ....'!F419</f>
        <v>1</v>
      </c>
      <c r="E102" s="62" t="str">
        <f>IF(D102=1,"Tidak Tersedia Pasar di Desa",
IF(D102=5,"Tersedia Pasar di Desa","Tidak Teridentifikasi"))</f>
        <v>Tidak Tersedia Pasar di Desa</v>
      </c>
      <c r="F102" s="61" t="str">
        <f>IF(D102=1,"Perlu Menyediakan Pasar di Desa",
IF(D102=5,"","Tidak Teridentifikasi"))</f>
        <v>Perlu Menyediakan Pasar di Desa</v>
      </c>
      <c r="G102" s="61"/>
      <c r="H102" s="61"/>
      <c r="I102" s="193" t="s">
        <v>1633</v>
      </c>
      <c r="J102" s="193" t="s">
        <v>1634</v>
      </c>
      <c r="K102" s="193" t="s">
        <v>1635</v>
      </c>
      <c r="L102" s="189" t="s">
        <v>1636</v>
      </c>
      <c r="M102" s="189" t="s">
        <v>1604</v>
      </c>
    </row>
    <row r="103" spans="1:13" s="73" customFormat="1" ht="75" x14ac:dyDescent="0.25">
      <c r="A103" s="161"/>
      <c r="B103" s="160" t="s">
        <v>139</v>
      </c>
      <c r="C103" s="156" t="s">
        <v>1637</v>
      </c>
      <c r="D103" s="61">
        <f>'INPUTAN DESA ....'!F424</f>
        <v>2</v>
      </c>
      <c r="E103" s="61" t="str">
        <f>IF(D103=1,"Akses Menuju Pasar di Desa Sangat Sulit",
IF(D103=2,"Akses Menuju Pasar di Desa Sulit",
IF(D103=3,"Akses Menuju Pasar di Desa Sedang",
IF(D103=4,"Akses Menuju Pasar di Desa Mudah",
IF(D103=5,"Akses Menuju Pasar di Desa Sangat Mudah","Tidak Teridentifikasi")))))</f>
        <v>Akses Menuju Pasar di Desa Sulit</v>
      </c>
      <c r="F103" s="61" t="str">
        <f>IF(OR(D103=4,D103=3,D103=2,D103=1),"Perlu Menyediakan Kemudahan Akses Menuju Pasar di Desa",
IF(D103=5,"","Tidak Teridentifikasi"))</f>
        <v>Perlu Menyediakan Kemudahan Akses Menuju Pasar di Desa</v>
      </c>
      <c r="G103" s="61"/>
      <c r="H103" s="61"/>
      <c r="I103" s="193" t="s">
        <v>1638</v>
      </c>
      <c r="J103" s="193" t="s">
        <v>1639</v>
      </c>
      <c r="K103" s="193" t="s">
        <v>1640</v>
      </c>
      <c r="L103" s="189" t="s">
        <v>1618</v>
      </c>
      <c r="M103" s="189" t="s">
        <v>1604</v>
      </c>
    </row>
    <row r="104" spans="1:13" ht="19.899999999999999" customHeight="1" x14ac:dyDescent="0.25">
      <c r="A104" s="1011">
        <v>28</v>
      </c>
      <c r="B104" s="1012"/>
      <c r="C104" s="158" t="s">
        <v>376</v>
      </c>
      <c r="D104" s="64">
        <f>SUM(D105,D106)</f>
        <v>6</v>
      </c>
      <c r="E104" s="76"/>
      <c r="F104" s="81"/>
      <c r="G104" s="81"/>
      <c r="H104" s="81"/>
      <c r="I104" s="177"/>
      <c r="J104" s="177"/>
      <c r="K104" s="177"/>
      <c r="L104" s="178"/>
      <c r="M104" s="179"/>
    </row>
    <row r="105" spans="1:13" s="73" customFormat="1" ht="105" x14ac:dyDescent="0.25">
      <c r="A105" s="161"/>
      <c r="B105" s="160" t="s">
        <v>41</v>
      </c>
      <c r="C105" s="156" t="s">
        <v>1641</v>
      </c>
      <c r="D105" s="62">
        <f>'INPUTAN DESA ....'!F426</f>
        <v>1</v>
      </c>
      <c r="E105" s="62" t="str">
        <f>IF(D105=1,"Tidak Tersedia Toko/ Pertokoan di Desa",
IF(D105=5,"Tersedia Toko/ Pertokoan di Desa","Tidak Teridentifikasi"))</f>
        <v>Tidak Tersedia Toko/ Pertokoan di Desa</v>
      </c>
      <c r="F105" s="61" t="str">
        <f>IF(D105=1,"Perlu Menyediakan Toko/Pertokoan di Desa",
IF(D105=5,"","Tidak Teridentifikasi"))</f>
        <v>Perlu Menyediakan Toko/Pertokoan di Desa</v>
      </c>
      <c r="G105" s="61"/>
      <c r="H105" s="61"/>
      <c r="I105" s="193" t="s">
        <v>1642</v>
      </c>
      <c r="J105" s="193" t="s">
        <v>1643</v>
      </c>
      <c r="K105" s="193" t="s">
        <v>1644</v>
      </c>
      <c r="L105" s="189" t="s">
        <v>1618</v>
      </c>
      <c r="M105" s="189" t="s">
        <v>1604</v>
      </c>
    </row>
    <row r="106" spans="1:13" s="73" customFormat="1" ht="75" x14ac:dyDescent="0.25">
      <c r="A106" s="161"/>
      <c r="B106" s="160" t="s">
        <v>139</v>
      </c>
      <c r="C106" s="156" t="s">
        <v>1645</v>
      </c>
      <c r="D106" s="61">
        <f>'INPUTAN DESA ....'!F430</f>
        <v>5</v>
      </c>
      <c r="E106" s="61" t="str">
        <f>IF(D106=1,"Akses Menuju Toko/ Pertokoan di Desa Sangat Sulit",
IF(D106=2,"Akses Menuju Toko/ Pertokoan di Desa Sulit",
IF(D106=3,"Akses Menuju Toko/ Pertokoan di Desa Sedang",
IF(D106=4,"Akses Menuju Toko/ Pertokoan di Desa Mudah",
IF(D106=5,"Akses Menuju Toko/ Pertokoan di Desa Sangat Mudah","Tidak Teridentifikasi")))))</f>
        <v>Akses Menuju Toko/ Pertokoan di Desa Sangat Mudah</v>
      </c>
      <c r="F106" s="61" t="str">
        <f>IF(OR(D106=4,D106=3,D106=2,D106=1),"Perlu Menyediakan Kemudahan Akses Menuju Toko/Pertokoan di Desa",
IF(D106=5,"","Tidak Teridentifikasi"))</f>
        <v/>
      </c>
      <c r="G106" s="61"/>
      <c r="H106" s="61"/>
      <c r="I106" s="193" t="s">
        <v>1646</v>
      </c>
      <c r="J106" s="193" t="s">
        <v>1647</v>
      </c>
      <c r="K106" s="193" t="s">
        <v>1648</v>
      </c>
      <c r="L106" s="189" t="s">
        <v>1618</v>
      </c>
      <c r="M106" s="189" t="s">
        <v>1604</v>
      </c>
    </row>
    <row r="107" spans="1:13" ht="19.899999999999999" customHeight="1" x14ac:dyDescent="0.25">
      <c r="A107" s="1011">
        <v>29</v>
      </c>
      <c r="B107" s="1012"/>
      <c r="C107" s="153" t="s">
        <v>380</v>
      </c>
      <c r="D107" s="64">
        <f>SUM(D108,D109)</f>
        <v>5</v>
      </c>
      <c r="E107" s="76"/>
      <c r="F107" s="81"/>
      <c r="G107" s="81"/>
      <c r="H107" s="81"/>
      <c r="I107" s="177"/>
      <c r="J107" s="177"/>
      <c r="K107" s="177"/>
      <c r="L107" s="178"/>
      <c r="M107" s="179"/>
    </row>
    <row r="108" spans="1:13" s="73" customFormat="1" ht="105" x14ac:dyDescent="0.25">
      <c r="A108" s="161"/>
      <c r="B108" s="160" t="s">
        <v>41</v>
      </c>
      <c r="C108" s="156" t="s">
        <v>1649</v>
      </c>
      <c r="D108" s="62">
        <f>'INPUTAN DESA ....'!F432</f>
        <v>1</v>
      </c>
      <c r="E108" s="62" t="str">
        <f>IF(D108=1,"Tidak Tersedia Kedai/ Rumah Makan di Desa",
IF(D108=5,"Tersedia Kedai/ Rumah Makan di Desa","Tidak Teridentifikasi"))</f>
        <v>Tidak Tersedia Kedai/ Rumah Makan di Desa</v>
      </c>
      <c r="F108" s="61" t="str">
        <f>IF(D108=1,"Perlu Menyediakan Kedai/Rumah Makan di Desa",
IF(D108=5,"","Tidak Teridentifikasi"))</f>
        <v>Perlu Menyediakan Kedai/Rumah Makan di Desa</v>
      </c>
      <c r="G108" s="61"/>
      <c r="H108" s="61"/>
      <c r="I108" s="193" t="s">
        <v>1650</v>
      </c>
      <c r="J108" s="193" t="s">
        <v>1651</v>
      </c>
      <c r="K108" s="193" t="s">
        <v>1651</v>
      </c>
      <c r="L108" s="189" t="s">
        <v>1618</v>
      </c>
      <c r="M108" s="189" t="s">
        <v>1604</v>
      </c>
    </row>
    <row r="109" spans="1:13" s="73" customFormat="1" ht="90" x14ac:dyDescent="0.25">
      <c r="A109" s="161"/>
      <c r="B109" s="160" t="s">
        <v>139</v>
      </c>
      <c r="C109" s="156" t="s">
        <v>1652</v>
      </c>
      <c r="D109" s="61">
        <f>'INPUTAN DESA ....'!F436</f>
        <v>4</v>
      </c>
      <c r="E109" s="61" t="str">
        <f>IF(D109=1,"Akses Menuju Kedai/ Rumah Makan di Desa Sangat Sulit",
IF(D109=2,"Akses Menuju Kedai/ Rumah Makan di Desa Sulit",
IF(D109=3,"Akses Menuju Kedai/ Rumah Makan di Desa Sedang",
IF(D109=4,"Akses Menuju Kedai/ Rumah Makan di Desa Mudah",
IF(D109=5,"Akses Menuju Kedai/ Rumah Makan di Desa Sangat Mudah","Tidak Teridentifikasi")))))</f>
        <v>Akses Menuju Kedai/ Rumah Makan di Desa Mudah</v>
      </c>
      <c r="F109" s="61" t="str">
        <f>IF(OR(D109=4,D109=3,D109=2,D109=1),"Perlu Menyediakan Kemudahan Akses Menuju Kedai/Rumah Makan di Desa",
IF(D109=5,"","Tidak Teridentifikasi"))</f>
        <v>Perlu Menyediakan Kemudahan Akses Menuju Kedai/Rumah Makan di Desa</v>
      </c>
      <c r="G109" s="61"/>
      <c r="H109" s="61"/>
      <c r="I109" s="193" t="s">
        <v>1653</v>
      </c>
      <c r="J109" s="193" t="s">
        <v>1654</v>
      </c>
      <c r="K109" s="193" t="s">
        <v>1655</v>
      </c>
      <c r="L109" s="189" t="s">
        <v>1618</v>
      </c>
      <c r="M109" s="189" t="s">
        <v>1604</v>
      </c>
    </row>
    <row r="110" spans="1:13" ht="19.899999999999999" customHeight="1" x14ac:dyDescent="0.25">
      <c r="A110" s="1011">
        <v>30</v>
      </c>
      <c r="B110" s="1012"/>
      <c r="C110" s="153" t="s">
        <v>385</v>
      </c>
      <c r="D110" s="64">
        <f>SUM(D111,D112)</f>
        <v>4</v>
      </c>
      <c r="E110" s="76"/>
      <c r="F110" s="81"/>
      <c r="G110" s="81"/>
      <c r="H110" s="81"/>
      <c r="I110" s="177"/>
      <c r="J110" s="177"/>
      <c r="K110" s="177"/>
      <c r="L110" s="178"/>
      <c r="M110" s="179"/>
    </row>
    <row r="111" spans="1:13" s="73" customFormat="1" ht="90" x14ac:dyDescent="0.25">
      <c r="A111" s="161"/>
      <c r="B111" s="160" t="s">
        <v>41</v>
      </c>
      <c r="C111" s="156" t="s">
        <v>1656</v>
      </c>
      <c r="D111" s="62">
        <f>'INPUTAN DESA ....'!F438</f>
        <v>1</v>
      </c>
      <c r="E111" s="62" t="str">
        <f>IF(D111=1,"Tidak Tersedia Penginapan di Desa",
IF(D111=5,"Tersedia Penginapan di Desa","Tidak Teridentifikasi"))</f>
        <v>Tidak Tersedia Penginapan di Desa</v>
      </c>
      <c r="F111" s="61" t="str">
        <f>IF(D111=1,"Perlu Menyediakan Penginapan di Desa",
IF(D111=5,"","Tidak Teridentifikasi"))</f>
        <v>Perlu Menyediakan Penginapan di Desa</v>
      </c>
      <c r="G111" s="61"/>
      <c r="H111" s="61"/>
      <c r="I111" s="193" t="s">
        <v>1657</v>
      </c>
      <c r="J111" s="193" t="s">
        <v>1658</v>
      </c>
      <c r="K111" s="193" t="s">
        <v>1659</v>
      </c>
      <c r="L111" s="189" t="s">
        <v>1618</v>
      </c>
      <c r="M111" s="189" t="s">
        <v>1604</v>
      </c>
    </row>
    <row r="112" spans="1:13" s="73" customFormat="1" ht="90" x14ac:dyDescent="0.25">
      <c r="A112" s="161"/>
      <c r="B112" s="160" t="s">
        <v>139</v>
      </c>
      <c r="C112" s="156" t="s">
        <v>1660</v>
      </c>
      <c r="D112" s="61">
        <f>'INPUTAN DESA ....'!F442</f>
        <v>3</v>
      </c>
      <c r="E112" s="61" t="str">
        <f>IF(D112=1,"Akses Menuju Penginapan di Desa Sangat Sulit",
IF(D112=2,"Akses Menuju Penginapan di Desa Sulit",
IF(D112=3,"Akses Menuju Penginapan di Desa Sedang",
IF(D112=4,"Akses Menuju Penginapan di Desa Mudah",
IF(D112=5,"Akses Menuju Penginapan di Desa Sangat Mudah","Tidak Teridentifikasi")))))</f>
        <v>Akses Menuju Penginapan di Desa Sedang</v>
      </c>
      <c r="F112" s="61" t="str">
        <f>IF(OR(D112=4,D112=3,D112=2,D112=1),"Perlu Menyediakan Kemudahan Akses Menuju Penginapan di Desa",
IF(D112=5,"","Tidak Teridentifikasi"))</f>
        <v>Perlu Menyediakan Kemudahan Akses Menuju Penginapan di Desa</v>
      </c>
      <c r="G112" s="61"/>
      <c r="H112" s="61"/>
      <c r="I112" s="193" t="s">
        <v>1661</v>
      </c>
      <c r="J112" s="193" t="s">
        <v>1662</v>
      </c>
      <c r="K112" s="193" t="s">
        <v>1655</v>
      </c>
      <c r="L112" s="189" t="s">
        <v>1618</v>
      </c>
      <c r="M112" s="189" t="s">
        <v>1604</v>
      </c>
    </row>
    <row r="113" spans="1:13" ht="19.899999999999999" customHeight="1" x14ac:dyDescent="0.25">
      <c r="A113" s="1011">
        <v>31</v>
      </c>
      <c r="B113" s="1012"/>
      <c r="C113" s="153" t="s">
        <v>1663</v>
      </c>
      <c r="D113" s="64">
        <f>SUM(D114,D115)</f>
        <v>7</v>
      </c>
      <c r="E113" s="76"/>
      <c r="F113" s="81"/>
      <c r="G113" s="81"/>
      <c r="H113" s="81"/>
      <c r="I113" s="177"/>
      <c r="J113" s="177"/>
      <c r="K113" s="177"/>
      <c r="L113" s="178"/>
      <c r="M113" s="179"/>
    </row>
    <row r="114" spans="1:13" s="73" customFormat="1" ht="90" x14ac:dyDescent="0.25">
      <c r="A114" s="161"/>
      <c r="B114" s="160" t="s">
        <v>41</v>
      </c>
      <c r="C114" s="156" t="s">
        <v>1664</v>
      </c>
      <c r="D114" s="62">
        <f>'INPUTAN DESA ....'!F444</f>
        <v>5</v>
      </c>
      <c r="E114" s="62" t="str">
        <f>IF(D114=1,"Tidak Tersedia Layanan Pos dan Logistik di Desa",
IF(D114=5,"Tersedia Layanan Pos dan Logistik di Desa","Tidak Teridentifikasi"))</f>
        <v>Tersedia Layanan Pos dan Logistik di Desa</v>
      </c>
      <c r="F114" s="61" t="str">
        <f>IF(D114=1,"Perlu Menyediakan Pos dan Logistik di Desa",
IF(D114=5,"","Tidak Teridentifikasi"))</f>
        <v/>
      </c>
      <c r="G114" s="61"/>
      <c r="H114" s="61"/>
      <c r="I114" s="193" t="s">
        <v>1665</v>
      </c>
      <c r="J114" s="193" t="s">
        <v>1666</v>
      </c>
      <c r="K114" s="193" t="s">
        <v>1667</v>
      </c>
      <c r="L114" s="189" t="s">
        <v>1618</v>
      </c>
      <c r="M114" s="189" t="s">
        <v>1604</v>
      </c>
    </row>
    <row r="115" spans="1:13" s="73" customFormat="1" ht="90" x14ac:dyDescent="0.25">
      <c r="A115" s="161"/>
      <c r="B115" s="160" t="s">
        <v>139</v>
      </c>
      <c r="C115" s="156" t="s">
        <v>1668</v>
      </c>
      <c r="D115" s="61">
        <f>'INPUTAN DESA ....'!F448</f>
        <v>2</v>
      </c>
      <c r="E115" s="61" t="str">
        <f>IF(D115=1,"Akses Menuju Layanan Pos dan Logistik di Desa Sangat Sulit",
IF(D115=2,"Akses Menuju Layanan Pos dan Logistik di Desa Sulit",
IF(D115=3,"Akses Menuju Layanan Pos dan Logistik di Desa Sedang",
IF(D115=4,"Akses Menuju Layanan Pos dan Logistik di Desa Mudah",
IF(D115=5,"Akses Menuju Layanan Pos dan Logistik di Desa Sangat Mudah","Tidak Teridentifikasi")))))</f>
        <v>Akses Menuju Layanan Pos dan Logistik di Desa Sulit</v>
      </c>
      <c r="F115" s="61" t="str">
        <f>IF(OR(D115=4,D115=3,D115=2,D115=1),"Perlu Menyediakan Kemudahan Akses Menuju Pos dan Logistik di Desa",
IF(D115=5,"","Tidak Teridentifikasi"))</f>
        <v>Perlu Menyediakan Kemudahan Akses Menuju Pos dan Logistik di Desa</v>
      </c>
      <c r="G115" s="61"/>
      <c r="H115" s="61"/>
      <c r="I115" s="193" t="s">
        <v>1665</v>
      </c>
      <c r="J115" s="193" t="s">
        <v>1669</v>
      </c>
      <c r="K115" s="193" t="s">
        <v>1670</v>
      </c>
      <c r="L115" s="189" t="s">
        <v>1618</v>
      </c>
      <c r="M115" s="189" t="s">
        <v>1604</v>
      </c>
    </row>
    <row r="116" spans="1:13" ht="19.899999999999999" customHeight="1" x14ac:dyDescent="0.25">
      <c r="A116" s="1011">
        <v>32</v>
      </c>
      <c r="B116" s="1012"/>
      <c r="C116" s="153" t="s">
        <v>388</v>
      </c>
      <c r="D116" s="64">
        <f>SUM(D117,D118,D119,D120,D121,D122)</f>
        <v>13</v>
      </c>
      <c r="E116" s="76"/>
      <c r="F116" s="81"/>
      <c r="G116" s="81"/>
      <c r="H116" s="81"/>
      <c r="I116" s="177"/>
      <c r="J116" s="177"/>
      <c r="K116" s="177"/>
      <c r="L116" s="178"/>
      <c r="M116" s="179"/>
    </row>
    <row r="117" spans="1:13" s="73" customFormat="1" ht="120" x14ac:dyDescent="0.25">
      <c r="A117" s="161"/>
      <c r="B117" s="160" t="s">
        <v>41</v>
      </c>
      <c r="C117" s="163" t="s">
        <v>1671</v>
      </c>
      <c r="D117" s="62">
        <f>IF(AND('INPUTAN DESA ....'!F450=2,'INPUTAN DESA ....'!F454=2),1,IF(AND('INPUTAN DESA ....'!F450=6,OR('INPUTAN DESA ....'!F454=6,'INPUTAN DESA ....'!F454=2)),5,IF(AND('INPUTAN DESA ....'!F454=6,OR('INPUTAN DESA ....'!F450=2,'INPUTAN DESA ....'!F450=6)),5,5)))</f>
        <v>5</v>
      </c>
      <c r="E117" s="62" t="str">
        <f>IF(D117=1,"Tidak Terdapat BUMDesa/ Bumdesa Bersama di Desa",
IF(D117=5,"Terdapat BUMDesa/ Bumdesa Bersama di Desa","Tidak Teridentifikasi"))</f>
        <v>Terdapat BUMDesa/ Bumdesa Bersama di Desa</v>
      </c>
      <c r="F117" s="61" t="str">
        <f>IF(D117=1,"Perlu Pembentukan Bumdesa/ Bumdesa Bersama di Desa",
IF(D117=5,"","Tidak Teridentifikasi"))</f>
        <v/>
      </c>
      <c r="G117" s="61"/>
      <c r="H117" s="61"/>
      <c r="I117" s="193" t="s">
        <v>1672</v>
      </c>
      <c r="J117" s="193" t="s">
        <v>1673</v>
      </c>
      <c r="K117" s="193" t="s">
        <v>1674</v>
      </c>
      <c r="L117" s="189" t="s">
        <v>1675</v>
      </c>
      <c r="M117" s="189" t="s">
        <v>1604</v>
      </c>
    </row>
    <row r="118" spans="1:13" s="73" customFormat="1" ht="75" x14ac:dyDescent="0.25">
      <c r="A118" s="161"/>
      <c r="B118" s="160" t="s">
        <v>139</v>
      </c>
      <c r="C118" s="163" t="s">
        <v>1676</v>
      </c>
      <c r="D118" s="62">
        <f>IF(OR('INPUTAN DESA ....'!F450=10,'INPUTAN DESA ....'!F454=10),5,1)</f>
        <v>1</v>
      </c>
      <c r="E118" s="62" t="str">
        <f>IF(D118=1,"BUMDesa/ Bumdesa Bersama di Desa Belum Berbadan Hukum",
IF(D118=5,"BUMDesa/ Bumdesa Bersama di Desa Sudah Berbadan Hukum","Tidak Teridentifikasi"))</f>
        <v>BUMDesa/ Bumdesa Bersama di Desa Belum Berbadan Hukum</v>
      </c>
      <c r="F118" s="61" t="str">
        <f>IF(D118=1,"Perlu Pembentukan Badan Hukum Bumdesa/ Bumdesa Bersama",
IF(D118=5,"","Tidak Teridentifikasi"))</f>
        <v>Perlu Pembentukan Badan Hukum Bumdesa/ Bumdesa Bersama</v>
      </c>
      <c r="G118" s="61"/>
      <c r="H118" s="61"/>
      <c r="I118" s="193" t="s">
        <v>1677</v>
      </c>
      <c r="J118" s="193" t="s">
        <v>1673</v>
      </c>
      <c r="K118" s="193" t="s">
        <v>1674</v>
      </c>
      <c r="L118" s="189" t="s">
        <v>1675</v>
      </c>
      <c r="M118" s="189" t="s">
        <v>1604</v>
      </c>
    </row>
    <row r="119" spans="1:13" s="73" customFormat="1" ht="75" x14ac:dyDescent="0.25">
      <c r="A119" s="161"/>
      <c r="B119" s="160" t="s">
        <v>251</v>
      </c>
      <c r="C119" s="156" t="s">
        <v>1678</v>
      </c>
      <c r="D119" s="62">
        <f>IF('INPUTAN DESA ....'!F453&gt;'INPUTAN DESA ....'!F457,'INPUTAN DESA ....'!F453,'INPUTAN DESA ....'!F457)</f>
        <v>4</v>
      </c>
      <c r="E119" s="61" t="str">
        <f>IF(D119=1,"Tidak Terdapat Lembaga Ekonomi",
IF(D119=2,"Waktu Pelayanan BUMDes/ BUMDESMA Tidak Pasti",
IF(D119=3,"Waktu Pelayanan BUMDes/ BUMDESMA Beroperasi 1-3 Hari Seminggu",
IF(D119=4,"Waktu Pelayanan BUMDes/ BUMDESMA Beroperasi 4-5 Hari Seminggu",
IF(D119=5,"Waktu Pelayanan BUMDes/ BUMDESMA Beroperasi &gt;5 Hari Seminggu","Tidak Teridentifikasi")))))</f>
        <v>Waktu Pelayanan BUMDes/ BUMDESMA Beroperasi 4-5 Hari Seminggu</v>
      </c>
      <c r="F119" s="61" t="str">
        <f>IF(D119=1,"Perlu Pengadaan Lembaga Ekonomi di Desa",
IF(D119=2,"Perlu Penetapan Layanan Operasional",
IF(D119=3,"Perlu Peningkatan Layanan Operasional hingga &gt;5 Hari dalam Seminggu",
IF(D119=4,"Perlu Peningkatan Layanan Operasional hingga &gt;5 Hari dalam Seminggu",
IF(D119=5,"","Tidak Teridentifikasi")))))</f>
        <v>Perlu Peningkatan Layanan Operasional hingga &gt;5 Hari dalam Seminggu</v>
      </c>
      <c r="G119" s="61"/>
      <c r="H119" s="61"/>
      <c r="I119" s="193" t="s">
        <v>1679</v>
      </c>
      <c r="J119" s="193" t="s">
        <v>1673</v>
      </c>
      <c r="K119" s="193" t="s">
        <v>1674</v>
      </c>
      <c r="L119" s="189" t="s">
        <v>1675</v>
      </c>
      <c r="M119" s="189" t="s">
        <v>1604</v>
      </c>
    </row>
    <row r="120" spans="1:13" s="73" customFormat="1" ht="90" x14ac:dyDescent="0.25">
      <c r="A120" s="161"/>
      <c r="B120" s="160" t="s">
        <v>255</v>
      </c>
      <c r="C120" s="156" t="s">
        <v>1680</v>
      </c>
      <c r="D120" s="62">
        <f>'INPUTAN DESA ....'!F458</f>
        <v>1</v>
      </c>
      <c r="E120" s="62" t="str">
        <f>IF(D120=1,"Tidak Tersedia Lembaga Ekonomi Lainnya (Selain BUMDes/ BUMDESMA) di Desa",
IF(D120=5,"Tersedia Lembaga Ekonomi Lainnya (Selain BUMDes/ BUMDESMA) di Desa","Tidak Teridentifikasi"))</f>
        <v>Tidak Tersedia Lembaga Ekonomi Lainnya (Selain BUMDes/ BUMDESMA) di Desa</v>
      </c>
      <c r="F120" s="61" t="str">
        <f>IF(D120=1,"Perlu Adanya Lembaga Ekonomi Lainnya selain Bumdesa/ Bumdesa Bersama di Desa",
IF(D120=5,"","Tidak Teridentifikasi"))</f>
        <v>Perlu Adanya Lembaga Ekonomi Lainnya selain Bumdesa/ Bumdesa Bersama di Desa</v>
      </c>
      <c r="G120" s="61"/>
      <c r="H120" s="61"/>
      <c r="I120" s="193" t="s">
        <v>1681</v>
      </c>
      <c r="J120" s="193" t="s">
        <v>1673</v>
      </c>
      <c r="K120" s="193" t="s">
        <v>1674</v>
      </c>
      <c r="L120" s="189" t="s">
        <v>1483</v>
      </c>
      <c r="M120" s="189" t="s">
        <v>1604</v>
      </c>
    </row>
    <row r="121" spans="1:13" s="73" customFormat="1" ht="90" x14ac:dyDescent="0.25">
      <c r="A121" s="161"/>
      <c r="B121" s="160" t="s">
        <v>252</v>
      </c>
      <c r="C121" s="156" t="s">
        <v>1682</v>
      </c>
      <c r="D121" s="62">
        <f>'INPUTAN DESA ....'!F459</f>
        <v>1</v>
      </c>
      <c r="E121" s="62" t="str">
        <f>IF(D121=1,"Tidak Tersedia KUD di Desa",
IF(D121=5,"Tersedia KUD di Desa","Tidak Teridentifikasi"))</f>
        <v>Tidak Tersedia KUD di Desa</v>
      </c>
      <c r="F121" s="61" t="str">
        <f>IF(D121=1,"Perlu Penyediaan KUD di Desa",
IF(D121=5,"","Tidak Teridentifikasi"))</f>
        <v>Perlu Penyediaan KUD di Desa</v>
      </c>
      <c r="G121" s="61"/>
      <c r="H121" s="61"/>
      <c r="I121" s="193" t="s">
        <v>1681</v>
      </c>
      <c r="J121" s="193" t="s">
        <v>1673</v>
      </c>
      <c r="K121" s="193" t="s">
        <v>1674</v>
      </c>
      <c r="L121" s="189" t="s">
        <v>1683</v>
      </c>
      <c r="M121" s="189" t="s">
        <v>1604</v>
      </c>
    </row>
    <row r="122" spans="1:13" s="73" customFormat="1" ht="90" x14ac:dyDescent="0.25">
      <c r="A122" s="161"/>
      <c r="B122" s="160" t="s">
        <v>253</v>
      </c>
      <c r="C122" s="156" t="s">
        <v>1684</v>
      </c>
      <c r="D122" s="62">
        <f>'INPUTAN DESA ....'!F460</f>
        <v>1</v>
      </c>
      <c r="E122" s="62" t="str">
        <f>IF(D122=1,"Tidak Tersedia UMKM di Desa",
IF(D122=5,"Tersedia UMKM di Desa","Tidak Teridentifikasi"))</f>
        <v>Tidak Tersedia UMKM di Desa</v>
      </c>
      <c r="F122" s="61" t="str">
        <f>IF(D122=1,"Perlu Penyediaan UMKM di Desa",
IF(D122=5,"","Tidak Teridentifikasi"))</f>
        <v>Perlu Penyediaan UMKM di Desa</v>
      </c>
      <c r="G122" s="61"/>
      <c r="H122" s="61"/>
      <c r="I122" s="193" t="s">
        <v>1685</v>
      </c>
      <c r="J122" s="193" t="s">
        <v>1686</v>
      </c>
      <c r="K122" s="193" t="s">
        <v>1686</v>
      </c>
      <c r="L122" s="189" t="s">
        <v>1683</v>
      </c>
      <c r="M122" s="189" t="s">
        <v>1604</v>
      </c>
    </row>
    <row r="123" spans="1:13" ht="19.899999999999999" customHeight="1" x14ac:dyDescent="0.25">
      <c r="A123" s="1011">
        <v>33</v>
      </c>
      <c r="B123" s="1012"/>
      <c r="C123" s="153" t="s">
        <v>390</v>
      </c>
      <c r="D123" s="64">
        <f>SUM(D124,D125,D126,D127,D128,D129)</f>
        <v>19</v>
      </c>
      <c r="E123" s="76"/>
      <c r="F123" s="81"/>
      <c r="G123" s="81"/>
      <c r="H123" s="81"/>
      <c r="I123" s="177"/>
      <c r="J123" s="177"/>
      <c r="K123" s="177"/>
      <c r="L123" s="178"/>
      <c r="M123" s="179"/>
    </row>
    <row r="124" spans="1:13" s="73" customFormat="1" ht="45" x14ac:dyDescent="0.25">
      <c r="A124" s="161"/>
      <c r="B124" s="160" t="s">
        <v>41</v>
      </c>
      <c r="C124" s="156" t="s">
        <v>1687</v>
      </c>
      <c r="D124" s="62">
        <f>'INPUTAN DESA ....'!F462</f>
        <v>5</v>
      </c>
      <c r="E124" s="62" t="str">
        <f>IF(D124=1,"Tidak Tersedia Layanan Perbankan di Desa",
IF(D124=5,"Tersedia UMKM di Desa","Tidak Teridentifikasi"))</f>
        <v>Tersedia UMKM di Desa</v>
      </c>
      <c r="F124" s="61" t="str">
        <f>IF(D124=1,"Perlu Penyediaan Layanan Perbankan di Desa",
IF(D124=5,"","Tidak Teridentifikasi"))</f>
        <v/>
      </c>
      <c r="G124" s="61"/>
      <c r="H124" s="61"/>
      <c r="I124" s="193" t="s">
        <v>1688</v>
      </c>
      <c r="J124" s="193" t="s">
        <v>1689</v>
      </c>
      <c r="K124" s="193" t="s">
        <v>1690</v>
      </c>
      <c r="L124" s="189" t="s">
        <v>1683</v>
      </c>
      <c r="M124" s="189" t="s">
        <v>1604</v>
      </c>
    </row>
    <row r="125" spans="1:13" s="73" customFormat="1" ht="45" x14ac:dyDescent="0.25">
      <c r="A125" s="161"/>
      <c r="B125" s="160" t="s">
        <v>139</v>
      </c>
      <c r="C125" s="156" t="s">
        <v>1691</v>
      </c>
      <c r="D125" s="62">
        <f>'INPUTAN DESA ....'!F463</f>
        <v>2</v>
      </c>
      <c r="E125" s="61" t="str">
        <f>IF(D125=1,"Tidak Terdapat Layanan Perbankan",
IF(D125=2,"Waktu Pelayanan Pebankan Tidak Pasti",
IF(D125=3,"Waktu Pelayanan Perbankan Beroperasi 1-3 Hari Seminggu",
IF(D125=4,"Waktu Pelayanan Perbankan Beroperasi 4-5 Hari Seminggu",
IF(D125=5,"Waktu Pelayanan Perbankan Beroperasi &gt;5 Hari Seminggu","Tidak Teridentifikasi")))))</f>
        <v>Waktu Pelayanan Pebankan Tidak Pasti</v>
      </c>
      <c r="F125" s="61" t="str">
        <f>IF(D125=1,"Perlu Pengadaan Layanan Perbankan di Desa",
IF(D125=2,"Perlu Penetapan Layanan Operasional",
IF(D125=3,"Perlu Peningkatan Layanan Operasional hingga &gt;5 Hari dalam Seminggu",
IF(D125=4,"Perlu Peningkatan Layanan Operasional hingga &gt;5 Hari dalam Seminggu",
IF(D125=5,"","Tidak Teridentifikasi")))))</f>
        <v>Perlu Penetapan Layanan Operasional</v>
      </c>
      <c r="G125" s="61"/>
      <c r="H125" s="61"/>
      <c r="I125" s="193" t="s">
        <v>1688</v>
      </c>
      <c r="J125" s="193" t="s">
        <v>1689</v>
      </c>
      <c r="K125" s="193" t="s">
        <v>1690</v>
      </c>
      <c r="L125" s="189" t="s">
        <v>1683</v>
      </c>
      <c r="M125" s="189" t="s">
        <v>1604</v>
      </c>
    </row>
    <row r="126" spans="1:13" s="73" customFormat="1" ht="120" x14ac:dyDescent="0.25">
      <c r="A126" s="161"/>
      <c r="B126" s="160" t="s">
        <v>251</v>
      </c>
      <c r="C126" s="163" t="s">
        <v>1692</v>
      </c>
      <c r="D126" s="62">
        <f>'INPUTAN DESA ....'!F466</f>
        <v>1</v>
      </c>
      <c r="E126" s="62" t="str">
        <f>IF(D126=1,"Tidak Terdapat Layanan Fasilitas Kredit Berupa KUR di Desa",
IF(D126=5,"Terdapat Layanan Fasilitas Kredit Berupa KUR  di Desa","Tidak Teridentifikasi"))</f>
        <v>Tidak Terdapat Layanan Fasilitas Kredit Berupa KUR di Desa</v>
      </c>
      <c r="F126" s="61" t="str">
        <f>IF(D126=1,"Perlu Penyediaan Layanan Fasilitas Kredit KUR di Desa",
IF(D126=5,"","Tidak Teridentifikasi"))</f>
        <v>Perlu Penyediaan Layanan Fasilitas Kredit KUR di Desa</v>
      </c>
      <c r="G126" s="61"/>
      <c r="H126" s="61"/>
      <c r="I126" s="193" t="s">
        <v>1693</v>
      </c>
      <c r="J126" s="193" t="s">
        <v>1694</v>
      </c>
      <c r="K126" s="193" t="s">
        <v>1695</v>
      </c>
      <c r="L126" s="189" t="s">
        <v>1696</v>
      </c>
      <c r="M126" s="189" t="s">
        <v>1604</v>
      </c>
    </row>
    <row r="127" spans="1:13" s="73" customFormat="1" ht="90" x14ac:dyDescent="0.25">
      <c r="A127" s="161"/>
      <c r="B127" s="160" t="s">
        <v>255</v>
      </c>
      <c r="C127" s="163" t="s">
        <v>1697</v>
      </c>
      <c r="D127" s="62">
        <f>'INPUTAN DESA ....'!F467</f>
        <v>1</v>
      </c>
      <c r="E127" s="62" t="str">
        <f>IF(D127=1,"Tidak Terdapat Layanan Fasilitas Kredit Berupa KKP-E di Desa",
IF(D127=5,"Terdapat Layanan Fasilitas Kredit Berupa KKP-E  di Desa","Tidak Teridentifikasi"))</f>
        <v>Tidak Terdapat Layanan Fasilitas Kredit Berupa KKP-E di Desa</v>
      </c>
      <c r="F127" s="61" t="str">
        <f>IF(D127=1,"Perlu Penyediaan Layanan Fasilitas Kredit KKP-E di Desa",
IF(D127=5,"","Tidak Teridentifikasi"))</f>
        <v>Perlu Penyediaan Layanan Fasilitas Kredit KKP-E di Desa</v>
      </c>
      <c r="G127" s="61"/>
      <c r="H127" s="61"/>
      <c r="I127" s="193" t="s">
        <v>1698</v>
      </c>
      <c r="J127" s="193" t="s">
        <v>1694</v>
      </c>
      <c r="K127" s="193" t="s">
        <v>1695</v>
      </c>
      <c r="L127" s="189" t="s">
        <v>1696</v>
      </c>
      <c r="M127" s="189" t="s">
        <v>1604</v>
      </c>
    </row>
    <row r="128" spans="1:13" s="73" customFormat="1" ht="90" x14ac:dyDescent="0.25">
      <c r="A128" s="161"/>
      <c r="B128" s="160" t="s">
        <v>252</v>
      </c>
      <c r="C128" s="163" t="s">
        <v>1699</v>
      </c>
      <c r="D128" s="62">
        <f>'INPUTAN DESA ....'!F468</f>
        <v>5</v>
      </c>
      <c r="E128" s="62" t="str">
        <f>IF(D128=1,"Tidak Terdapat Layanan Fasilitas Kredit Berupa KUK di Desa",
IF(D128=5,"Terdapat Layanan Fasilitas Kredit Berupa KUK  di Desa","Tidak Teridentifikasi"))</f>
        <v>Terdapat Layanan Fasilitas Kredit Berupa KUK  di Desa</v>
      </c>
      <c r="F128" s="61" t="str">
        <f>IF(D128=1,"Perlu Penyediaan Layanan Fasilitas Kredit KUK di Desa",
IF(D128=5,"","Tidak Teridentifikasi"))</f>
        <v/>
      </c>
      <c r="G128" s="61"/>
      <c r="H128" s="61"/>
      <c r="I128" s="193" t="s">
        <v>1700</v>
      </c>
      <c r="J128" s="193" t="s">
        <v>1694</v>
      </c>
      <c r="K128" s="193" t="s">
        <v>1695</v>
      </c>
      <c r="L128" s="189" t="s">
        <v>1701</v>
      </c>
      <c r="M128" s="189" t="s">
        <v>1604</v>
      </c>
    </row>
    <row r="129" spans="1:13" s="73" customFormat="1" ht="105" x14ac:dyDescent="0.25">
      <c r="A129" s="161"/>
      <c r="B129" s="160" t="s">
        <v>253</v>
      </c>
      <c r="C129" s="163" t="s">
        <v>1702</v>
      </c>
      <c r="D129" s="62">
        <f>'INPUTAN DESA ....'!F469</f>
        <v>5</v>
      </c>
      <c r="E129" s="62" t="str">
        <f>IF(D129=1,"Status Layanan Fasilitas Kredit Tidak Resmi",
IF(D129=5,"Status Layanan Fasilitas Kredit Sudah Resmi","Tidak Teridentifikasi"))</f>
        <v>Status Layanan Fasilitas Kredit Sudah Resmi</v>
      </c>
      <c r="F129" s="61" t="str">
        <f>IF(D129=1,"Penyediaan Layanan Fasilitas Kredit di Desa harus bersifat Resmi",
IF(D129=5,"","Tidak Teridentifikasi"))</f>
        <v/>
      </c>
      <c r="G129" s="61"/>
      <c r="H129" s="61"/>
      <c r="I129" s="193" t="s">
        <v>1703</v>
      </c>
      <c r="J129" s="193" t="s">
        <v>1694</v>
      </c>
      <c r="K129" s="193" t="s">
        <v>1695</v>
      </c>
      <c r="L129" s="189" t="s">
        <v>1701</v>
      </c>
      <c r="M129" s="189" t="s">
        <v>1604</v>
      </c>
    </row>
    <row r="130" spans="1:13" ht="19.899999999999999" customHeight="1" x14ac:dyDescent="0.25">
      <c r="A130" s="1011">
        <v>4</v>
      </c>
      <c r="B130" s="1012"/>
      <c r="C130" s="152" t="s">
        <v>393</v>
      </c>
      <c r="D130" s="60">
        <f>SUM(D131,D149)</f>
        <v>60</v>
      </c>
      <c r="E130" s="67"/>
      <c r="F130" s="68"/>
      <c r="G130" s="68"/>
      <c r="H130" s="68"/>
      <c r="I130" s="180"/>
      <c r="J130" s="180"/>
      <c r="K130" s="180"/>
      <c r="L130" s="181"/>
      <c r="M130" s="182"/>
    </row>
    <row r="131" spans="1:13" ht="19.899999999999999" customHeight="1" x14ac:dyDescent="0.25">
      <c r="A131" s="1011" t="s">
        <v>394</v>
      </c>
      <c r="B131" s="1012"/>
      <c r="C131" s="152" t="s">
        <v>395</v>
      </c>
      <c r="D131" s="60">
        <f>SUM(D132,D137,D141,D143)</f>
        <v>43</v>
      </c>
      <c r="E131" s="69"/>
      <c r="F131" s="70"/>
      <c r="G131" s="70"/>
      <c r="H131" s="70"/>
      <c r="I131" s="190"/>
      <c r="J131" s="190"/>
      <c r="K131" s="190"/>
      <c r="L131" s="191"/>
      <c r="M131" s="192"/>
    </row>
    <row r="132" spans="1:13" ht="19.899999999999999" customHeight="1" x14ac:dyDescent="0.25">
      <c r="A132" s="1011">
        <v>34</v>
      </c>
      <c r="B132" s="1012"/>
      <c r="C132" s="153" t="s">
        <v>396</v>
      </c>
      <c r="D132" s="60">
        <f>SUM(D133,D134,D135,D136)</f>
        <v>8</v>
      </c>
      <c r="E132" s="71"/>
      <c r="F132" s="72"/>
      <c r="G132" s="72"/>
      <c r="H132" s="72"/>
      <c r="I132" s="183"/>
      <c r="J132" s="183"/>
      <c r="K132" s="183"/>
      <c r="L132" s="184"/>
      <c r="M132" s="185"/>
    </row>
    <row r="133" spans="1:13" s="73" customFormat="1" ht="75" x14ac:dyDescent="0.25">
      <c r="A133" s="161"/>
      <c r="B133" s="160" t="s">
        <v>41</v>
      </c>
      <c r="C133" s="163" t="s">
        <v>1704</v>
      </c>
      <c r="D133" s="62">
        <f>'INPUTAN DESA ....'!F474</f>
        <v>5</v>
      </c>
      <c r="E133" s="62" t="str">
        <f>IF(D133=1,"Tidak Terdapat Upaya Menjaga/ Mempertahankan/ Melestarikan Kearifan Lingkungan di Desa",
IF(D133=3,"Hanya Terdapat 1 Kearifan Lingkungan yang Dijaga/ DIpertahankan/ Dilestarikan",
IF(D133=5,"Terdapat lebih dari 1 Kearifan Lingkungan yang Dijaga/ DIpertahankan/ Dilestarikan","Tidak Teridentifikasi")))</f>
        <v>Terdapat lebih dari 1 Kearifan Lingkungan yang Dijaga/ DIpertahankan/ Dilestarikan</v>
      </c>
      <c r="F133" s="61" t="str">
        <f>IF(D133=1,"Perlu Adanya Upaya Menjaga/ Mempertahankan/ Melestarikan Kearifan Lingkungan yang ada di Desa",
IF(D133=3,"Perlu Mengembangkan/ Menambah Kearifan Lingkungan yang dijaga/ dipertahankan/ dilestarikan di Desa",
IF(D133=5,"","Tidak Teridentifikasi")))</f>
        <v/>
      </c>
      <c r="G133" s="61"/>
      <c r="H133" s="61"/>
      <c r="I133" s="193" t="s">
        <v>1705</v>
      </c>
      <c r="J133" s="193" t="s">
        <v>1706</v>
      </c>
      <c r="K133" s="193" t="s">
        <v>1707</v>
      </c>
      <c r="L133" s="189" t="s">
        <v>1708</v>
      </c>
      <c r="M133" s="189" t="s">
        <v>1709</v>
      </c>
    </row>
    <row r="134" spans="1:13" s="73" customFormat="1" ht="75" x14ac:dyDescent="0.25">
      <c r="A134" s="161"/>
      <c r="B134" s="160" t="s">
        <v>139</v>
      </c>
      <c r="C134" s="156" t="s">
        <v>1710</v>
      </c>
      <c r="D134" s="62">
        <f>'INPUTAN DESA ....'!F476</f>
        <v>1</v>
      </c>
      <c r="E134" s="62" t="str">
        <f>IF(D134=1,"Tidak Terdapat Peraturan Regulasi yang Mengatur Terkait Pelestarian Lingkungan di Desa",
IF(D134=5,"Terdapat Peraturan Regulasi yang Mengatur Terkait Pelestarian Lingkungan di Desa","Tidak Teridentifikasi"))</f>
        <v>Tidak Terdapat Peraturan Regulasi yang Mengatur Terkait Pelestarian Lingkungan di Desa</v>
      </c>
      <c r="F134" s="61" t="str">
        <f>IF(D134=1,"Perlu Adanya Peraturan/Regulasi yang Mengatur Terkait Pelestarian Lingkungan di Desa",
IF(D134=5,"","Tidak Teridentifikasi"))</f>
        <v>Perlu Adanya Peraturan/Regulasi yang Mengatur Terkait Pelestarian Lingkungan di Desa</v>
      </c>
      <c r="G134" s="61"/>
      <c r="H134" s="61"/>
      <c r="I134" s="193" t="s">
        <v>1711</v>
      </c>
      <c r="J134" s="193" t="s">
        <v>1712</v>
      </c>
      <c r="K134" s="193" t="s">
        <v>1713</v>
      </c>
      <c r="L134" s="189" t="s">
        <v>1714</v>
      </c>
      <c r="M134" s="189" t="s">
        <v>1715</v>
      </c>
    </row>
    <row r="135" spans="1:13" s="73" customFormat="1" ht="90" x14ac:dyDescent="0.25">
      <c r="A135" s="161"/>
      <c r="B135" s="160" t="s">
        <v>251</v>
      </c>
      <c r="C135" s="156" t="s">
        <v>1716</v>
      </c>
      <c r="D135" s="62">
        <f>'INPUTAN DESA ....'!F477</f>
        <v>1</v>
      </c>
      <c r="E135" s="62" t="str">
        <f>IF(D135=1,"Tidak Terdapat Kegiatan Pelestarian Lingkungan Berbasis Kearifan Lokal Bidang Lingkungan di Desa",
IF(D135=5,"Terdapat Kegiatan Pelestarian Lingkungan Berbasis Kearifan Lokal Bidang Lingkungan di Desa","Tidak Teridentifikasi"))</f>
        <v>Tidak Terdapat Kegiatan Pelestarian Lingkungan Berbasis Kearifan Lokal Bidang Lingkungan di Desa</v>
      </c>
      <c r="F135" s="61" t="str">
        <f>IF(D135=1,"Perlu Adanya Kegiatan Terkait Pelestarian Lingkungan  Berbasis Lokal di Desa",
IF(D135=5,"","Tidak Teridentifikasi"))</f>
        <v>Perlu Adanya Kegiatan Terkait Pelestarian Lingkungan  Berbasis Lokal di Desa</v>
      </c>
      <c r="G135" s="61"/>
      <c r="H135" s="61"/>
      <c r="I135" s="193" t="s">
        <v>1705</v>
      </c>
      <c r="J135" s="193" t="s">
        <v>1717</v>
      </c>
      <c r="K135" s="193" t="s">
        <v>1718</v>
      </c>
      <c r="L135" s="189" t="s">
        <v>1719</v>
      </c>
      <c r="M135" s="189" t="s">
        <v>1720</v>
      </c>
    </row>
    <row r="136" spans="1:13" s="73" customFormat="1" ht="75" x14ac:dyDescent="0.25">
      <c r="A136" s="161"/>
      <c r="B136" s="160" t="s">
        <v>255</v>
      </c>
      <c r="C136" s="156" t="s">
        <v>1721</v>
      </c>
      <c r="D136" s="62">
        <f>'INPUTAN DESA ....'!F478</f>
        <v>1</v>
      </c>
      <c r="E136" s="62" t="str">
        <f>IF(D136=1,"Tidak Terdapat Pemanfaatan Energi Baru Terbarukan (EBT) di Desa",
IF(D136=5,"Tidak Terdapat Pemanfaatan Energi Baru Terbarukan (EBT) di Desa","Tidak Teridentifikasi"))</f>
        <v>Tidak Terdapat Pemanfaatan Energi Baru Terbarukan (EBT) di Desa</v>
      </c>
      <c r="F136" s="61" t="str">
        <f>IF(D136=1,"Perlu Pemanfaatan Energi Baru Terbarukan di Desa",
IF(D136=5,"","Tidak Teridentifikasi"))</f>
        <v>Perlu Pemanfaatan Energi Baru Terbarukan di Desa</v>
      </c>
      <c r="G136" s="61"/>
      <c r="H136" s="61"/>
      <c r="I136" s="193" t="s">
        <v>1722</v>
      </c>
      <c r="J136" s="193" t="s">
        <v>1723</v>
      </c>
      <c r="K136" s="193" t="s">
        <v>1724</v>
      </c>
      <c r="L136" s="189" t="s">
        <v>1725</v>
      </c>
      <c r="M136" s="189" t="s">
        <v>1726</v>
      </c>
    </row>
    <row r="137" spans="1:13" ht="19.899999999999999" customHeight="1" x14ac:dyDescent="0.25">
      <c r="A137" s="1011">
        <v>35</v>
      </c>
      <c r="B137" s="1012"/>
      <c r="C137" s="153" t="s">
        <v>403</v>
      </c>
      <c r="D137" s="60">
        <f>SUM(D138,D139,D140)</f>
        <v>7</v>
      </c>
      <c r="E137" s="60"/>
      <c r="F137" s="60"/>
      <c r="G137" s="60"/>
      <c r="H137" s="60"/>
      <c r="I137" s="195"/>
      <c r="J137" s="195"/>
      <c r="K137" s="195"/>
      <c r="L137" s="196"/>
      <c r="M137" s="196"/>
    </row>
    <row r="138" spans="1:13" s="73" customFormat="1" ht="105" x14ac:dyDescent="0.25">
      <c r="A138" s="161"/>
      <c r="B138" s="160" t="s">
        <v>41</v>
      </c>
      <c r="C138" s="163" t="s">
        <v>1727</v>
      </c>
      <c r="D138" s="62">
        <f>'INPUTAN DESA ....'!F481</f>
        <v>1</v>
      </c>
      <c r="E138" s="62" t="str">
        <f>IF(D138=1,"Sampah Tidak Dibuang ke Tempat Penampungan Sampah",
IF(D138=5,"Sampah Dibuang ke Tempat Penampungan Sampah","Tidak Teridentifikasi"))</f>
        <v>Sampah Tidak Dibuang ke Tempat Penampungan Sampah</v>
      </c>
      <c r="F138" s="61" t="str">
        <f>IF(D138=1,"Perlu Pengadaan Penampungan Sampah di Desa",
IF(D138=5,"","Tidak Teridentifikasi"))</f>
        <v>Perlu Pengadaan Penampungan Sampah di Desa</v>
      </c>
      <c r="G138" s="61"/>
      <c r="H138" s="61"/>
      <c r="I138" s="193" t="s">
        <v>1728</v>
      </c>
      <c r="J138" s="193" t="s">
        <v>1729</v>
      </c>
      <c r="K138" s="193" t="s">
        <v>1730</v>
      </c>
      <c r="L138" s="189" t="s">
        <v>1731</v>
      </c>
      <c r="M138" s="189" t="s">
        <v>1732</v>
      </c>
    </row>
    <row r="139" spans="1:13" s="73" customFormat="1" ht="105" x14ac:dyDescent="0.25">
      <c r="A139" s="161"/>
      <c r="B139" s="160" t="s">
        <v>139</v>
      </c>
      <c r="C139" s="156" t="s">
        <v>1733</v>
      </c>
      <c r="D139" s="62">
        <f>'INPUTAN DESA ....'!F484</f>
        <v>1</v>
      </c>
      <c r="E139" s="62" t="str">
        <f>IF(D139=1,"Tidak Dilakukan Pengolahan Sampah di Desa ",
IF(D139=5,"Dilakukan Pengolahan Sampah di Desa ","Tidak Teridentifikasi"))</f>
        <v xml:space="preserve">Tidak Dilakukan Pengolahan Sampah di Desa </v>
      </c>
      <c r="F139" s="61" t="str">
        <f>IF(D139=1,"Perlu Adanya Pengolahan Sampah di Desa",
IF(D139=5,"","Tidak Teridentifikasi"))</f>
        <v>Perlu Adanya Pengolahan Sampah di Desa</v>
      </c>
      <c r="G139" s="61"/>
      <c r="H139" s="61"/>
      <c r="I139" s="193" t="s">
        <v>1734</v>
      </c>
      <c r="J139" s="193" t="s">
        <v>1735</v>
      </c>
      <c r="K139" s="193" t="s">
        <v>1730</v>
      </c>
      <c r="L139" s="189" t="s">
        <v>1736</v>
      </c>
      <c r="M139" s="189" t="s">
        <v>1726</v>
      </c>
    </row>
    <row r="140" spans="1:13" s="73" customFormat="1" ht="105" x14ac:dyDescent="0.25">
      <c r="A140" s="161"/>
      <c r="B140" s="160" t="s">
        <v>251</v>
      </c>
      <c r="C140" s="156" t="s">
        <v>1737</v>
      </c>
      <c r="D140" s="62">
        <f>'INPUTAN DESA ....'!F486</f>
        <v>5</v>
      </c>
      <c r="E140" s="62" t="str">
        <f>IF(D140=1,"Tidak Dilakukan Pemanfaatan Sampah di Desa ",
IF(D140=5,"Dilakukan Pemanfaatan Sampah di Desa ","Tidak Teridentifikasi"))</f>
        <v xml:space="preserve">Dilakukan Pemanfaatan Sampah di Desa </v>
      </c>
      <c r="F140" s="61" t="str">
        <f>IF(D140=1,"Perlu Adanya Pemanfaatan Sampah di Desa",
IF(D140=5,"","Tidak Teridentifikasi"))</f>
        <v/>
      </c>
      <c r="G140" s="61"/>
      <c r="H140" s="61"/>
      <c r="I140" s="193" t="s">
        <v>1734</v>
      </c>
      <c r="J140" s="193" t="s">
        <v>1735</v>
      </c>
      <c r="K140" s="193" t="s">
        <v>1730</v>
      </c>
      <c r="L140" s="189" t="s">
        <v>813</v>
      </c>
      <c r="M140" s="189" t="s">
        <v>1738</v>
      </c>
    </row>
    <row r="141" spans="1:13" ht="19.899999999999999" customHeight="1" x14ac:dyDescent="0.25">
      <c r="A141" s="1011">
        <v>36</v>
      </c>
      <c r="B141" s="1012"/>
      <c r="C141" s="153" t="s">
        <v>409</v>
      </c>
      <c r="D141" s="60">
        <f>SUM(D142)</f>
        <v>5</v>
      </c>
      <c r="E141" s="66"/>
      <c r="F141" s="74"/>
      <c r="G141" s="74"/>
      <c r="H141" s="74"/>
      <c r="I141" s="177"/>
      <c r="J141" s="177"/>
      <c r="K141" s="177"/>
      <c r="L141" s="178"/>
      <c r="M141" s="179"/>
    </row>
    <row r="142" spans="1:13" s="73" customFormat="1" ht="105" x14ac:dyDescent="0.25">
      <c r="A142" s="161"/>
      <c r="B142" s="160" t="s">
        <v>41</v>
      </c>
      <c r="C142" s="156" t="s">
        <v>1739</v>
      </c>
      <c r="D142" s="61">
        <f>'INPUTAN DESA ....'!F493</f>
        <v>5</v>
      </c>
      <c r="E142" s="61" t="str">
        <f>IF(D142=1,"Skor Kejadian Pencemaran Lingkungan Bernilai 1",
IF(D142=2,"Skor Kejadian Pencemaran Lingkungan Bernilai &gt;=0.5",
IF(D142=4,"Skor Kejadian Pencemaran Lingkungan Bernilai &lt;0.5",
IF(D142=5,"Skor Kejadian Pencemaran Lingkungan Bernilai 0","Tidak Teridentifikasi"))))</f>
        <v>Skor Kejadian Pencemaran Lingkungan Bernilai 0</v>
      </c>
      <c r="F142" s="61" t="str">
        <f>IF(D142=1,"Perlu Penanganan Pencemaran Lingkungan di Desa",
IF(D142=2,"Perlu Penanganan Pencemaran Lingkungan di Desa",
IF(D142=4,"Perlu Penanganan Pencemaran Lingkungan di Desa",
IF(D142=5,"","Tidak Teridentifikasi"))))</f>
        <v/>
      </c>
      <c r="G142" s="61"/>
      <c r="H142" s="61"/>
      <c r="I142" s="193" t="s">
        <v>1740</v>
      </c>
      <c r="J142" s="193" t="s">
        <v>1741</v>
      </c>
      <c r="K142" s="193" t="s">
        <v>1742</v>
      </c>
      <c r="L142" s="189" t="s">
        <v>813</v>
      </c>
      <c r="M142" s="189" t="s">
        <v>1743</v>
      </c>
    </row>
    <row r="143" spans="1:13" ht="19.899999999999999" customHeight="1" x14ac:dyDescent="0.25">
      <c r="A143" s="1011">
        <v>37</v>
      </c>
      <c r="B143" s="1012"/>
      <c r="C143" s="153" t="s">
        <v>1744</v>
      </c>
      <c r="D143" s="60">
        <f>SUM(D144,D145,D146,D147,D148)</f>
        <v>23</v>
      </c>
      <c r="E143" s="66"/>
      <c r="F143" s="74"/>
      <c r="G143" s="74"/>
      <c r="H143" s="74"/>
      <c r="I143" s="177"/>
      <c r="J143" s="177"/>
      <c r="K143" s="177"/>
      <c r="L143" s="178"/>
      <c r="M143" s="179"/>
    </row>
    <row r="144" spans="1:13" s="73" customFormat="1" ht="105" x14ac:dyDescent="0.25">
      <c r="A144" s="162" t="s">
        <v>1273</v>
      </c>
      <c r="B144" s="160" t="s">
        <v>41</v>
      </c>
      <c r="C144" s="156" t="s">
        <v>1745</v>
      </c>
      <c r="D144" s="61">
        <f>'INPUTAN DESA ....'!F497</f>
        <v>3</v>
      </c>
      <c r="E144" s="61" t="str">
        <f>IF(D144=1,"Masih Menggunakan Jamban Komunal",
IF(D144=3,"Sebagian Kecil Rumah Tangga Sudah Memiliki Jamban Individu (&lt;50%)",
IF(D144=5,"Sebagian Besar Rumah Tangga Sudah Memiliki Jamban Individu (&gt;=50%)","Tidak Teridentifikasi")))</f>
        <v>Sebagian Kecil Rumah Tangga Sudah Memiliki Jamban Individu (&lt;50%)</v>
      </c>
      <c r="F144" s="61" t="str">
        <f>IF(D144=1,"Perlu Adanya Sosialisasi Kepemilikan Jamban Individu Tiap Rumah Tangga di Desa",
IF(D144=3,"Perlu Adanya Sosialisasi Kepemilikan Jamban Individu Tiap Rumah Tangga di Desa",
IF(D144=5,"","Tidak Teridentifikasi")))</f>
        <v>Perlu Adanya Sosialisasi Kepemilikan Jamban Individu Tiap Rumah Tangga di Desa</v>
      </c>
      <c r="G144" s="61"/>
      <c r="H144" s="61"/>
      <c r="I144" s="193" t="s">
        <v>1746</v>
      </c>
      <c r="J144" s="193" t="s">
        <v>1747</v>
      </c>
      <c r="K144" s="193" t="s">
        <v>1748</v>
      </c>
      <c r="L144" s="189" t="s">
        <v>1749</v>
      </c>
      <c r="M144" s="189" t="s">
        <v>1750</v>
      </c>
    </row>
    <row r="145" spans="1:13" s="73" customFormat="1" ht="120" x14ac:dyDescent="0.25">
      <c r="A145" s="161"/>
      <c r="B145" s="160" t="s">
        <v>139</v>
      </c>
      <c r="C145" s="156" t="s">
        <v>1751</v>
      </c>
      <c r="D145" s="62">
        <f>'INPUTAN DESA ....'!F498</f>
        <v>5</v>
      </c>
      <c r="E145" s="62" t="str">
        <f>IF(D145=1,"Jamban Tidak Berfungsi",
IF(D145=5,"Jamban Berfungsi","Tidak Teridentifikasi"))</f>
        <v>Jamban Berfungsi</v>
      </c>
      <c r="F145" s="61" t="str">
        <f>IF(D145=1,"Perlu Melakukan Perbaikan Jamban Individu di Desa",
IF(D145=5,"","Tidak Teridentifikasi"))</f>
        <v/>
      </c>
      <c r="G145" s="61"/>
      <c r="H145" s="61"/>
      <c r="I145" s="193" t="s">
        <v>1752</v>
      </c>
      <c r="J145" s="193" t="s">
        <v>1741</v>
      </c>
      <c r="K145" s="193" t="s">
        <v>1753</v>
      </c>
      <c r="L145" s="189" t="s">
        <v>1749</v>
      </c>
      <c r="M145" s="189" t="s">
        <v>1732</v>
      </c>
    </row>
    <row r="146" spans="1:13" s="73" customFormat="1" ht="105" x14ac:dyDescent="0.25">
      <c r="A146" s="161"/>
      <c r="B146" s="160" t="s">
        <v>251</v>
      </c>
      <c r="C146" s="156" t="s">
        <v>1754</v>
      </c>
      <c r="D146" s="62">
        <f>'INPUTAN DESA ....'!F500</f>
        <v>5</v>
      </c>
      <c r="E146" s="62" t="str">
        <f>IF(D146=1,"Tidak Tersedia Tangki Septic Tank",
IF(D146=3,"Tersedia Tangki Septic Tank Bersama/ Komunal",
IF(D146=5,"Tersedia  Tangki Septic Tank Sendiri/ Individu","Tidak Teridentifikasi")))</f>
        <v>Tersedia  Tangki Septic Tank Sendiri/ Individu</v>
      </c>
      <c r="F146" s="61" t="str">
        <f>IF(D146=1,"Perlu Adanya Pembangunan Septic Tank Per Rumah Tangga di Desa",
IF(D146=3,"Perlu Adanya Pembangunan Septic Tank Per Rumah Tangga di Desa",
IF(D146=5,"","Tidak Teridentifikasi")))</f>
        <v/>
      </c>
      <c r="G146" s="61"/>
      <c r="H146" s="61"/>
      <c r="I146" s="193" t="s">
        <v>1755</v>
      </c>
      <c r="J146" s="193" t="s">
        <v>1756</v>
      </c>
      <c r="K146" s="193" t="s">
        <v>1757</v>
      </c>
      <c r="L146" s="189" t="s">
        <v>1749</v>
      </c>
      <c r="M146" s="189" t="s">
        <v>1732</v>
      </c>
    </row>
    <row r="147" spans="1:13" s="73" customFormat="1" ht="105" x14ac:dyDescent="0.25">
      <c r="A147" s="161"/>
      <c r="B147" s="160" t="s">
        <v>255</v>
      </c>
      <c r="C147" s="156" t="s">
        <v>1758</v>
      </c>
      <c r="D147" s="62">
        <f>'INPUTAN DESA ....'!F501</f>
        <v>5</v>
      </c>
      <c r="E147" s="62" t="str">
        <f>IF(D147=1,"Tangki Septic Tank Tidak Berfungsi",
IF(D147=5,"Tangki Septic Tank Berfungsi","Tidak Teridentifikasi"))</f>
        <v>Tangki Septic Tank Berfungsi</v>
      </c>
      <c r="F147" s="61" t="str">
        <f t="shared" ref="F147:F148" si="0">IF(D147=1,"Perlu Adanya Pemanfaatan Sampah di Desa",
IF(D147=5,"","Tidak Teridentifikasi"))</f>
        <v/>
      </c>
      <c r="G147" s="61"/>
      <c r="H147" s="61"/>
      <c r="I147" s="193" t="s">
        <v>1755</v>
      </c>
      <c r="J147" s="193" t="s">
        <v>1756</v>
      </c>
      <c r="K147" s="193" t="s">
        <v>1757</v>
      </c>
      <c r="L147" s="189" t="s">
        <v>1749</v>
      </c>
      <c r="M147" s="189" t="s">
        <v>1732</v>
      </c>
    </row>
    <row r="148" spans="1:13" s="73" customFormat="1" ht="105" x14ac:dyDescent="0.25">
      <c r="A148" s="161"/>
      <c r="B148" s="160" t="s">
        <v>252</v>
      </c>
      <c r="C148" s="156" t="s">
        <v>1759</v>
      </c>
      <c r="D148" s="62">
        <f>'INPUTAN DESA ....'!F502</f>
        <v>5</v>
      </c>
      <c r="E148" s="62" t="str">
        <f>IF(D148=1,"Pembuangan Air Limbah Cair Rumah Tidak Memiliki Aliran Khusus/ Langsung Dibuang ke Tanah/ Sungai/ Danau/ Saluran Irigasi/ Laut",
IF(D148=5,"Pembuangan Air Limbah Cair Rumah Memiliki Aliran Khusus (Seperti Lubang Khusus/ Resapan, dan Lainnya)","Tidak Teridentifikasi"))</f>
        <v>Pembuangan Air Limbah Cair Rumah Memiliki Aliran Khusus (Seperti Lubang Khusus/ Resapan, dan Lainnya)</v>
      </c>
      <c r="F148" s="61" t="str">
        <f t="shared" si="0"/>
        <v/>
      </c>
      <c r="G148" s="61"/>
      <c r="H148" s="61"/>
      <c r="I148" s="193" t="s">
        <v>1755</v>
      </c>
      <c r="J148" s="193" t="s">
        <v>1756</v>
      </c>
      <c r="K148" s="193" t="s">
        <v>1757</v>
      </c>
      <c r="L148" s="189" t="s">
        <v>1749</v>
      </c>
      <c r="M148" s="189" t="s">
        <v>1732</v>
      </c>
    </row>
    <row r="149" spans="1:13" ht="19.899999999999999" customHeight="1" x14ac:dyDescent="0.25">
      <c r="A149" s="1011" t="s">
        <v>415</v>
      </c>
      <c r="B149" s="1012"/>
      <c r="C149" s="152" t="s">
        <v>416</v>
      </c>
      <c r="D149" s="60">
        <f>SUM(D150)</f>
        <v>17</v>
      </c>
      <c r="E149" s="67"/>
      <c r="F149" s="68"/>
      <c r="G149" s="68"/>
      <c r="H149" s="68"/>
      <c r="I149" s="180"/>
      <c r="J149" s="180"/>
      <c r="K149" s="180"/>
      <c r="L149" s="181"/>
      <c r="M149" s="182"/>
    </row>
    <row r="150" spans="1:13" ht="19.899999999999999" customHeight="1" x14ac:dyDescent="0.25">
      <c r="A150" s="1011">
        <v>38</v>
      </c>
      <c r="B150" s="1012"/>
      <c r="C150" s="153" t="s">
        <v>417</v>
      </c>
      <c r="D150" s="60">
        <f>SUM(D151,D152,D153,D154,D155)</f>
        <v>17</v>
      </c>
      <c r="E150" s="71"/>
      <c r="F150" s="72"/>
      <c r="G150" s="72"/>
      <c r="H150" s="72"/>
      <c r="I150" s="183"/>
      <c r="J150" s="183"/>
      <c r="K150" s="183"/>
      <c r="L150" s="184"/>
      <c r="M150" s="185"/>
    </row>
    <row r="151" spans="1:13" s="73" customFormat="1" ht="120" x14ac:dyDescent="0.25">
      <c r="A151" s="161"/>
      <c r="B151" s="160" t="s">
        <v>41</v>
      </c>
      <c r="C151" s="156" t="s">
        <v>1760</v>
      </c>
      <c r="D151" s="62">
        <f>'INPUTAN DESA ....'!F516</f>
        <v>5</v>
      </c>
      <c r="E151" s="62" t="str">
        <f>IF(D151=1,"Tidak Tersedia Aspek Informasi Kebencanaan seperti Data Kejadian Bencana, Indeks Resiko Bencana dan Peta Rawan Bencana",
IF(D151=5,"Tersedia Aspek Informasi Kebencanaan seperti Data Kejadian Bencana, Indeks Resiko Bencana dan Peta Rawan Bencana","Tidak Teridentifikasi"))</f>
        <v>Tersedia Aspek Informasi Kebencanaan seperti Data Kejadian Bencana, Indeks Resiko Bencana dan Peta Rawan Bencana</v>
      </c>
      <c r="F151" s="61" t="str">
        <f>IF(D151=1,"Perlu Ketersediaan Data Kejadian Bencana, Indeks Resiko Bencana dan Peta Rawan Bencana di Desa",
IF(D151=5,"","Tidak Teridentifikasi"))</f>
        <v/>
      </c>
      <c r="G151" s="61"/>
      <c r="H151" s="61"/>
      <c r="I151" s="193" t="s">
        <v>1761</v>
      </c>
      <c r="J151" s="193" t="s">
        <v>1762</v>
      </c>
      <c r="K151" s="193" t="s">
        <v>1763</v>
      </c>
      <c r="L151" s="189" t="s">
        <v>1764</v>
      </c>
      <c r="M151" s="189" t="s">
        <v>1715</v>
      </c>
    </row>
    <row r="152" spans="1:13" s="73" customFormat="1" ht="135" x14ac:dyDescent="0.25">
      <c r="A152" s="161"/>
      <c r="B152" s="160" t="s">
        <v>139</v>
      </c>
      <c r="C152" s="156" t="s">
        <v>1765</v>
      </c>
      <c r="D152" s="62">
        <f>'INPUTAN DESA ....'!F519</f>
        <v>5</v>
      </c>
      <c r="E152" s="62" t="str">
        <f>IF(D152=1,"Tidak Tersedia Fasilitas Mitigasi Bencana",
IF(D152=5,"Tersedia Fasilitas Mitigasi Bencana (Peringatan Dini, Perlengkapan Keselamatan, Jalur Evakuasi","Tidak Teridentifikasi"))</f>
        <v>Tersedia Fasilitas Mitigasi Bencana (Peringatan Dini, Perlengkapan Keselamatan, Jalur Evakuasi</v>
      </c>
      <c r="F152" s="61" t="str">
        <f>IF(D152=1,"Perlu Adanya Fasilitas Mitigasi Bencana di Desa",
IF(D152=5,"","Tidak Teridentifikasi"))</f>
        <v/>
      </c>
      <c r="G152" s="61"/>
      <c r="H152" s="61"/>
      <c r="I152" s="193" t="s">
        <v>1766</v>
      </c>
      <c r="J152" s="193" t="s">
        <v>1767</v>
      </c>
      <c r="K152" s="193" t="s">
        <v>1768</v>
      </c>
      <c r="L152" s="189" t="s">
        <v>1769</v>
      </c>
      <c r="M152" s="189" t="s">
        <v>1715</v>
      </c>
    </row>
    <row r="153" spans="1:13" s="73" customFormat="1" ht="120" x14ac:dyDescent="0.25">
      <c r="A153" s="161"/>
      <c r="B153" s="155" t="s">
        <v>251</v>
      </c>
      <c r="C153" s="156" t="s">
        <v>1770</v>
      </c>
      <c r="D153" s="61">
        <f>'INPUTAN DESA ....'!F523</f>
        <v>1</v>
      </c>
      <c r="E153" s="61" t="str">
        <f>IF(D153=1,"Akses Menuju Fasilitas Mitigasi Bencana di Desa Sangat Sulit",
IF(D153=2,"Akses Menuju Fasilitas Mitigasi Bencana  di Desa Sulit",
IF(D153=3,"Akses Menuju Fasilitas Mitigasi Bencana  di Desa Sedang",
IF(D153=4,"Akses Menuju Fasilitas Mitigasi Bencana  di Desa Mudah",
IF(D153=5,"Akses Menuju Fasilitas Mitigasi Bencana  di Desa Sangat Mudah","Tidak Teridentifikasi")))))</f>
        <v>Akses Menuju Fasilitas Mitigasi Bencana di Desa Sangat Sulit</v>
      </c>
      <c r="F153" s="61" t="str">
        <f>IF(OR(D153=4,D153=3,D153=2,D153=1),"Perlu Menyediakan Kemudahan Akses Menuju Fasilitas Mitigasi Bencana di Desa",
IF(D153=5,"","Tidak Teridentifikasi"))</f>
        <v>Perlu Menyediakan Kemudahan Akses Menuju Fasilitas Mitigasi Bencana di Desa</v>
      </c>
      <c r="G153" s="61"/>
      <c r="H153" s="61"/>
      <c r="I153" s="193" t="s">
        <v>1771</v>
      </c>
      <c r="J153" s="193" t="s">
        <v>1772</v>
      </c>
      <c r="K153" s="193" t="s">
        <v>1773</v>
      </c>
      <c r="L153" s="189" t="s">
        <v>1769</v>
      </c>
      <c r="M153" s="189" t="s">
        <v>1715</v>
      </c>
    </row>
    <row r="154" spans="1:13" s="73" customFormat="1" ht="120" x14ac:dyDescent="0.25">
      <c r="A154" s="161"/>
      <c r="B154" s="160" t="s">
        <v>255</v>
      </c>
      <c r="C154" s="156" t="s">
        <v>1774</v>
      </c>
      <c r="D154" s="62">
        <f>'INPUTAN DESA ....'!F524</f>
        <v>5</v>
      </c>
      <c r="E154" s="62" t="str">
        <f>IF(D154=1,"Tidak Ada Program Penaggulangan Bencana",
IF(D154=3,"Ada Program Penanggulangan Bencana dalam Dokumen Perencanaan Desa dan Tidak Terealisasi",
IF(D154=5,"Ada Program Penanggulangan Bencana dalam Dokumen Perencanaan Desa dan Terealisasi","Tidak Teridentifikasi")))</f>
        <v>Ada Program Penanggulangan Bencana dalam Dokumen Perencanaan Desa dan Terealisasi</v>
      </c>
      <c r="F154" s="61" t="str">
        <f>IF(D154=1,"Perlu Adanya Pembangunan Septic Tank Per Rumah Tangga di Desa",
IF(D154=3,"Perlu Adanya Pembangunan Septic Tank Per Rumah Tangga di Desa",
IF(D154=5,"","Tidak Teridentifikasi")))</f>
        <v/>
      </c>
      <c r="G154" s="61"/>
      <c r="H154" s="61"/>
      <c r="I154" s="193" t="s">
        <v>1775</v>
      </c>
      <c r="J154" s="193" t="s">
        <v>1767</v>
      </c>
      <c r="K154" s="193" t="s">
        <v>1776</v>
      </c>
      <c r="L154" s="189" t="s">
        <v>1769</v>
      </c>
      <c r="M154" s="189" t="s">
        <v>1715</v>
      </c>
    </row>
    <row r="155" spans="1:13" s="73" customFormat="1" ht="120" x14ac:dyDescent="0.25">
      <c r="A155" s="161"/>
      <c r="B155" s="160" t="s">
        <v>252</v>
      </c>
      <c r="C155" s="156" t="s">
        <v>1777</v>
      </c>
      <c r="D155" s="62">
        <f>'INPUTAN DESA ....'!F525</f>
        <v>1</v>
      </c>
      <c r="E155" s="62" t="str">
        <f>IF(D155=1,"Tidak Tersedia Titik Evakuasi, Pos Keamanan Bencana dan Alat Kesiasiagaan Bencana",
IF(D155=5,"Tersedia Titik Evakuasi, Pos Keamanan Bencana dan Alat Kesiasiagaan Bencana","Tidak Teridentifikasi"))</f>
        <v>Tidak Tersedia Titik Evakuasi, Pos Keamanan Bencana dan Alat Kesiasiagaan Bencana</v>
      </c>
      <c r="F155" s="61" t="str">
        <f>IF(D155=1,"Perlu Adanya Fasilitas Mitigasi Bencana di Desa",
IF(D155=5,"","Tidak Teridentifikasi"))</f>
        <v>Perlu Adanya Fasilitas Mitigasi Bencana di Desa</v>
      </c>
      <c r="G155" s="61"/>
      <c r="H155" s="61"/>
      <c r="I155" s="193" t="s">
        <v>1778</v>
      </c>
      <c r="J155" s="193" t="s">
        <v>1779</v>
      </c>
      <c r="K155" s="193" t="s">
        <v>1780</v>
      </c>
      <c r="L155" s="189" t="s">
        <v>1769</v>
      </c>
      <c r="M155" s="189" t="s">
        <v>1715</v>
      </c>
    </row>
    <row r="156" spans="1:13" ht="19.899999999999999" customHeight="1" x14ac:dyDescent="0.25">
      <c r="A156" s="1011">
        <v>5</v>
      </c>
      <c r="B156" s="1012"/>
      <c r="C156" s="152" t="s">
        <v>426</v>
      </c>
      <c r="D156" s="60">
        <f>SUM(D157,D164)</f>
        <v>38</v>
      </c>
      <c r="E156" s="67"/>
      <c r="F156" s="68"/>
      <c r="G156" s="68"/>
      <c r="H156" s="68"/>
      <c r="I156" s="180"/>
      <c r="J156" s="180"/>
      <c r="K156" s="180"/>
      <c r="L156" s="181"/>
      <c r="M156" s="182"/>
    </row>
    <row r="157" spans="1:13" ht="19.899999999999999" customHeight="1" x14ac:dyDescent="0.25">
      <c r="A157" s="1011" t="s">
        <v>427</v>
      </c>
      <c r="B157" s="1012"/>
      <c r="C157" s="152" t="s">
        <v>428</v>
      </c>
      <c r="D157" s="60">
        <f>SUM(D158,D161)</f>
        <v>19</v>
      </c>
      <c r="E157" s="69"/>
      <c r="F157" s="70"/>
      <c r="G157" s="70"/>
      <c r="H157" s="70"/>
      <c r="I157" s="190"/>
      <c r="J157" s="190"/>
      <c r="K157" s="190"/>
      <c r="L157" s="191"/>
      <c r="M157" s="192"/>
    </row>
    <row r="158" spans="1:13" ht="19.899999999999999" customHeight="1" x14ac:dyDescent="0.25">
      <c r="A158" s="1011">
        <v>39</v>
      </c>
      <c r="B158" s="1012"/>
      <c r="C158" s="153" t="s">
        <v>429</v>
      </c>
      <c r="D158" s="60">
        <f>SUM(D159,D160)</f>
        <v>10</v>
      </c>
      <c r="E158" s="71"/>
      <c r="F158" s="72"/>
      <c r="G158" s="72"/>
      <c r="H158" s="72"/>
      <c r="I158" s="183"/>
      <c r="J158" s="183"/>
      <c r="K158" s="183"/>
      <c r="L158" s="184"/>
      <c r="M158" s="185"/>
    </row>
    <row r="159" spans="1:13" s="73" customFormat="1" ht="120" x14ac:dyDescent="0.25">
      <c r="A159" s="161"/>
      <c r="B159" s="160" t="s">
        <v>41</v>
      </c>
      <c r="C159" s="156" t="s">
        <v>1781</v>
      </c>
      <c r="D159" s="62">
        <f>'INPUTAN DESA ....'!F529</f>
        <v>5</v>
      </c>
      <c r="E159" s="61" t="str">
        <f>IF(D159=1,"Tidak Terdapat Akses Jalan Apapun",
IF(D159=2,"Akses Jalan Lainnya",
IF(D159=3,"Jenis Permukaan Jalan Sebagian Besar di Desa Berupa Tanah",
IF(D159=4,"Jenis Permukaan Jalan Sebagian Besar di Desa Diperkeras (Kerikil, Batu, dll)",
IF(D159=5,"Jenis Permukaan Jalan Sebagian Besar di Desa Berupa Aspal/ Beton","Tidak Teridentifikasi")))))</f>
        <v>Jenis Permukaan Jalan Sebagian Besar di Desa Berupa Aspal/ Beton</v>
      </c>
      <c r="F159" s="61" t="str">
        <f>IF(D159=1,"Perlu Pembukaan Akses Jalan Aspal/ Beton di Desa",
IF(D159=2,"Perlu Peningkatan Kualitas Akses Jalan Aspal/Beton di Desa",
IF(D159=3,"Perlu Peningkatan Kualitas Akses Jalan Aspal/Beton di Desa",
IF(D159=4,"Perlu Peningkatan Kualitas Akses Jalan Aspal/Beton di Desa",
IF(D159=5,"","Tidak Teridentifikasi")))))</f>
        <v/>
      </c>
      <c r="G159" s="61"/>
      <c r="H159" s="61"/>
      <c r="I159" s="193" t="s">
        <v>1782</v>
      </c>
      <c r="J159" s="193" t="s">
        <v>1783</v>
      </c>
      <c r="K159" s="193" t="s">
        <v>1784</v>
      </c>
      <c r="L159" s="189" t="s">
        <v>1785</v>
      </c>
      <c r="M159" s="189" t="s">
        <v>1732</v>
      </c>
    </row>
    <row r="160" spans="1:13" s="73" customFormat="1" ht="120" x14ac:dyDescent="0.25">
      <c r="A160" s="161"/>
      <c r="B160" s="160" t="s">
        <v>139</v>
      </c>
      <c r="C160" s="156" t="s">
        <v>1786</v>
      </c>
      <c r="D160" s="62">
        <f>'INPUTAN DESA ....'!F535</f>
        <v>5</v>
      </c>
      <c r="E160" s="61" t="str">
        <f>IF(D160=1,"Kualitas Sebagian Besar Jalan di Desa Rusak Berat, Tidak Dapat Dilalui Setiap Hari",
IF(D160=2,"Kualitas Sebagian Besar Jalan di Desa Rusak Sedang, Tidak Dapat Dilalui Setiap Hari",
IF(D160=4,"Kualitas Sebagian Besar Jalan di Desa Rusak Sedang, Dapat Dilalui Setiap Hari",
IF(D160=5,"Kualitas Sebagian Besar Jalan di Desa Baik, Dapat Dilalui Setiap Hari","Tidak Teridentifikasi"))))</f>
        <v>Kualitas Sebagian Besar Jalan di Desa Baik, Dapat Dilalui Setiap Hari</v>
      </c>
      <c r="F160" s="61" t="str">
        <f>IF(D160=1,"Perlu Perbaikan Jalan di Desa agar dapat dilalui Setiap Hari",
IF(D160=2,"Perlu Perbaikan Jalan di Desa agar dapat dilalui Setiap Hari",
IF(D160=4,"Perlu Perbaikan Jalan di Desa agar dapat dilalui Setiap Hari",
IF(D160=5,"","Tidak Teridentifikasi"))))</f>
        <v/>
      </c>
      <c r="G160" s="61"/>
      <c r="H160" s="61"/>
      <c r="I160" s="193" t="s">
        <v>1787</v>
      </c>
      <c r="J160" s="193" t="s">
        <v>1783</v>
      </c>
      <c r="K160" s="193" t="s">
        <v>1784</v>
      </c>
      <c r="L160" s="189" t="s">
        <v>1785</v>
      </c>
      <c r="M160" s="189" t="s">
        <v>1732</v>
      </c>
    </row>
    <row r="161" spans="1:13" ht="19.899999999999999" customHeight="1" x14ac:dyDescent="0.25">
      <c r="A161" s="1011">
        <v>40</v>
      </c>
      <c r="B161" s="1012"/>
      <c r="C161" s="153" t="s">
        <v>432</v>
      </c>
      <c r="D161" s="60">
        <f>SUM(D162,D163)</f>
        <v>9</v>
      </c>
      <c r="E161" s="66"/>
      <c r="F161" s="74"/>
      <c r="G161" s="74"/>
      <c r="H161" s="74"/>
      <c r="I161" s="177"/>
      <c r="J161" s="177"/>
      <c r="K161" s="177"/>
      <c r="L161" s="178"/>
      <c r="M161" s="179"/>
    </row>
    <row r="162" spans="1:13" s="73" customFormat="1" ht="105" x14ac:dyDescent="0.25">
      <c r="A162" s="161"/>
      <c r="B162" s="160" t="s">
        <v>41</v>
      </c>
      <c r="C162" s="156" t="s">
        <v>1788</v>
      </c>
      <c r="D162" s="62">
        <f>'INPUTAN DESA ....'!F537</f>
        <v>5</v>
      </c>
      <c r="E162" s="62" t="str">
        <f>IF(D162=1,"Tidak Tersedia Penerangan Jalan Umum (PJU) di Jalan Utama Desa",
IF(D162=5,"Tersedia Penerangan Jalan Umum (PJU) di Jalan Utama Desa","Tidak Teridentifikasi"))</f>
        <v>Tersedia Penerangan Jalan Umum (PJU) di Jalan Utama Desa</v>
      </c>
      <c r="F162" s="61" t="str">
        <f>IF(D162=1,"Pengadaan Penerangan Jalan Utama di Desa",
IF(D162=5,"","Tidak Teridentifikasi"))</f>
        <v/>
      </c>
      <c r="G162" s="61"/>
      <c r="H162" s="61"/>
      <c r="I162" s="193" t="s">
        <v>1789</v>
      </c>
      <c r="J162" s="193" t="s">
        <v>1790</v>
      </c>
      <c r="K162" s="193" t="s">
        <v>1784</v>
      </c>
      <c r="L162" s="189" t="s">
        <v>1785</v>
      </c>
      <c r="M162" s="189" t="s">
        <v>1726</v>
      </c>
    </row>
    <row r="163" spans="1:13" s="73" customFormat="1" ht="90" x14ac:dyDescent="0.25">
      <c r="A163" s="161"/>
      <c r="B163" s="160" t="s">
        <v>139</v>
      </c>
      <c r="C163" s="156" t="s">
        <v>1791</v>
      </c>
      <c r="D163" s="62">
        <f>'INPUTAN DESA ....'!F538</f>
        <v>4</v>
      </c>
      <c r="E163" s="61" t="str">
        <f>IF(D163=1,"Tidak Teraliri Listrik",
IF(D163=2,"PJU Beroperasi &lt;6 Jam dalam 1 Hari",
IF(D163=4,"PJU Beroperasi 6-12 Jam dalam 1 Hari",
IF(D163=5,"PJU Beroperasi &gt;12 Jam dalam 1 Hari","Tidak Teridentifikasi"))))</f>
        <v>PJU Beroperasi 6-12 Jam dalam 1 Hari</v>
      </c>
      <c r="F163" s="61" t="str">
        <f>IF(D163=1,"Perlu Adanya Penerangan Jalan Utama minimal &gt;12 Jam perhari di Desa",
IF(D163=2,"Perlu Adanya Penerangan Jalan Utama minimal &gt;12 Jam perhari di Desa",
IF(D163=4,"Perlu Adanya Penerangan Jalan Utama minimal &gt;12 Jam perhari di Desa",
IF(D163=5,"","Tidak Teridentifikasi"))))</f>
        <v>Perlu Adanya Penerangan Jalan Utama minimal &gt;12 Jam perhari di Desa</v>
      </c>
      <c r="G163" s="61"/>
      <c r="H163" s="61"/>
      <c r="I163" s="193" t="s">
        <v>1792</v>
      </c>
      <c r="J163" s="193" t="s">
        <v>1793</v>
      </c>
      <c r="K163" s="193" t="s">
        <v>1784</v>
      </c>
      <c r="L163" s="189" t="s">
        <v>1785</v>
      </c>
      <c r="M163" s="189" t="s">
        <v>1726</v>
      </c>
    </row>
    <row r="164" spans="1:13" ht="19.899999999999999" customHeight="1" x14ac:dyDescent="0.25">
      <c r="A164" s="1011" t="s">
        <v>435</v>
      </c>
      <c r="B164" s="1012"/>
      <c r="C164" s="152" t="s">
        <v>436</v>
      </c>
      <c r="D164" s="60">
        <f>SUM(D165,D168,D171)</f>
        <v>19</v>
      </c>
      <c r="E164" s="67"/>
      <c r="F164" s="68"/>
      <c r="G164" s="68"/>
      <c r="H164" s="68"/>
      <c r="I164" s="180"/>
      <c r="J164" s="180"/>
      <c r="K164" s="180"/>
      <c r="L164" s="181"/>
      <c r="M164" s="182"/>
    </row>
    <row r="165" spans="1:13" ht="19.899999999999999" customHeight="1" x14ac:dyDescent="0.25">
      <c r="A165" s="1011">
        <v>41</v>
      </c>
      <c r="B165" s="1012"/>
      <c r="C165" s="153" t="s">
        <v>437</v>
      </c>
      <c r="D165" s="60">
        <f>SUM(D166,D167)</f>
        <v>2</v>
      </c>
      <c r="E165" s="71"/>
      <c r="F165" s="72"/>
      <c r="G165" s="72"/>
      <c r="H165" s="72"/>
      <c r="I165" s="183"/>
      <c r="J165" s="183"/>
      <c r="K165" s="183"/>
      <c r="L165" s="184"/>
      <c r="M165" s="185"/>
    </row>
    <row r="166" spans="1:13" s="73" customFormat="1" ht="75" x14ac:dyDescent="0.25">
      <c r="A166" s="161"/>
      <c r="B166" s="160" t="s">
        <v>41</v>
      </c>
      <c r="C166" s="163" t="s">
        <v>1794</v>
      </c>
      <c r="D166" s="62">
        <f>'INPUTAN DESA ....'!F541</f>
        <v>1</v>
      </c>
      <c r="E166" s="62" t="str">
        <f>IF(D166=1,"Tidak Terdapat Angkutan Umum di Desa",
IF(D166=5,"Terdapat Angkutan Umum di Desa","Tidak Teridentifikasi"))</f>
        <v>Tidak Terdapat Angkutan Umum di Desa</v>
      </c>
      <c r="F166" s="61" t="str">
        <f>IF(D166=1,"Pengadaan Penerangan Jalan Utama di Desa",
IF(D166=5,"","Tidak Teridentifikasi"))</f>
        <v>Pengadaan Penerangan Jalan Utama di Desa</v>
      </c>
      <c r="G166" s="61"/>
      <c r="H166" s="61"/>
      <c r="I166" s="193" t="s">
        <v>1795</v>
      </c>
      <c r="J166" s="193" t="s">
        <v>1783</v>
      </c>
      <c r="K166" s="193" t="s">
        <v>1784</v>
      </c>
      <c r="L166" s="189" t="s">
        <v>1785</v>
      </c>
      <c r="M166" s="189" t="s">
        <v>1726</v>
      </c>
    </row>
    <row r="167" spans="1:13" s="73" customFormat="1" ht="90" x14ac:dyDescent="0.25">
      <c r="A167" s="161"/>
      <c r="B167" s="160" t="s">
        <v>139</v>
      </c>
      <c r="C167" s="156" t="s">
        <v>1796</v>
      </c>
      <c r="D167" s="62">
        <f>'INPUTAN DESA ....'!F542</f>
        <v>1</v>
      </c>
      <c r="E167" s="61" t="str">
        <f>IF(D167=1,"Tidak Ada Transportasi Umum yang Beroperasi di Desa",
IF(D167=2,"Transportasi Umum Beroperasi 1-3 Hari dalam, Seminggu",
IF(D167=4,"Transportasi Umum Beroperasi 4-6 Hari dalam, Seminggu",
IF(D167=5,"Transportasi Umum Beroperasi Setiap Hari dalam, Seminggu","Tidak Teridentifikasi"))))</f>
        <v>Tidak Ada Transportasi Umum yang Beroperasi di Desa</v>
      </c>
      <c r="F167" s="61" t="str">
        <f>IF(D167=1,"Angkutan Perdesaan/ Angkutan Lokal/ Sejenis di Desa Beroperasi Setiap Hari dalam Seminggu",
IF(D167=2,"Angkutan Perdesaan/ Angkutan Lokal/ Sejenis di Desa Beroperasi Setiap Hari dalam Seminggu",
IF(D167=4,"Angkutan Perdesaan/ Angkutan Lokal/ Sejenis di Desa Beroperasi Setiap Hari dalam Seminggu",
IF(D167=5,"","Tidak Teridentifikasi"))))</f>
        <v>Angkutan Perdesaan/ Angkutan Lokal/ Sejenis di Desa Beroperasi Setiap Hari dalam Seminggu</v>
      </c>
      <c r="G167" s="61"/>
      <c r="H167" s="61"/>
      <c r="I167" s="193" t="s">
        <v>1797</v>
      </c>
      <c r="J167" s="193" t="s">
        <v>1783</v>
      </c>
      <c r="K167" s="193" t="s">
        <v>1784</v>
      </c>
      <c r="L167" s="189" t="s">
        <v>1785</v>
      </c>
      <c r="M167" s="189" t="s">
        <v>1726</v>
      </c>
    </row>
    <row r="168" spans="1:13" ht="19.899999999999999" customHeight="1" x14ac:dyDescent="0.25">
      <c r="A168" s="1011">
        <v>42</v>
      </c>
      <c r="B168" s="1012"/>
      <c r="C168" s="158" t="s">
        <v>85</v>
      </c>
      <c r="D168" s="60">
        <f>SUM(D169,D170)</f>
        <v>10</v>
      </c>
      <c r="E168" s="66"/>
      <c r="F168" s="74"/>
      <c r="G168" s="74"/>
      <c r="H168" s="74"/>
      <c r="I168" s="177"/>
      <c r="J168" s="177"/>
      <c r="K168" s="177"/>
      <c r="L168" s="178"/>
      <c r="M168" s="179"/>
    </row>
    <row r="169" spans="1:13" s="73" customFormat="1" ht="90" x14ac:dyDescent="0.25">
      <c r="A169" s="161"/>
      <c r="B169" s="160" t="s">
        <v>41</v>
      </c>
      <c r="C169" s="156" t="s">
        <v>1798</v>
      </c>
      <c r="D169" s="61">
        <f>'INPUTAN DESA ....'!F567</f>
        <v>5</v>
      </c>
      <c r="E169" s="61" t="str">
        <f>IF(D169=1,"Tidak Tersedia Pelayanan Listrik untuk Rumah di Desa",
IF(D169=3,"Ada Sebagian Kecil (&lt;=50%)Tersedia pelayanan Listrik Untuk Rumah di Desa",
IF(D169=5,"Ada Sebagian Besar (&gt;50%)Tersedia pelayanan Listrik Untuk Rumah di Desa","Tidak Teridentifikasi")))</f>
        <v>Ada Sebagian Besar (&gt;50%)Tersedia pelayanan Listrik Untuk Rumah di Desa</v>
      </c>
      <c r="F169" s="61" t="str">
        <f>IF(D169=1,"Perlu Terlayani Sebagian Besar Akses Pelayanan Listrik Rumah Tangga di Desa",
IF(D169=3,"Perlu Terlayani Sebagian Besar Akses Pelayanan Listrik Rumah Tangga di Desa",
IF(D169=5,"","Tidak Teridentifikasi")))</f>
        <v/>
      </c>
      <c r="G169" s="61"/>
      <c r="H169" s="61"/>
      <c r="I169" s="193" t="s">
        <v>1799</v>
      </c>
      <c r="J169" s="193" t="s">
        <v>1800</v>
      </c>
      <c r="K169" s="193" t="s">
        <v>1801</v>
      </c>
      <c r="L169" s="189" t="s">
        <v>1785</v>
      </c>
      <c r="M169" s="189" t="s">
        <v>1726</v>
      </c>
    </row>
    <row r="170" spans="1:13" s="73" customFormat="1" ht="105" x14ac:dyDescent="0.25">
      <c r="A170" s="161"/>
      <c r="B170" s="160" t="s">
        <v>139</v>
      </c>
      <c r="C170" s="156" t="s">
        <v>1802</v>
      </c>
      <c r="D170" s="62">
        <f>'INPUTAN DESA ....'!F568</f>
        <v>5</v>
      </c>
      <c r="E170" s="61" t="str">
        <f>IF(D170=1,"Tidak Tersedia Layanan Listrik di Desa",
IF(D170=2,"Tersedia &lt;6 Jam Layanan Listrik di Desa",
IF(D170=4,"Tersedia  6-12 Jam Layanan Listrik di Desa",
IF(D170=5,"Tersedia &gt;12 Jam Layanan Listrik di Desa","Tidak Teridentifikasi"))))</f>
        <v>Tersedia &gt;12 Jam Layanan Listrik di Desa</v>
      </c>
      <c r="F170" s="61" t="str">
        <f>IF(D170=1,"Durasi Layanan Listrik di Desa Tersedia Minimal &gt;12 Jam perhari",
IF(D170=2,"Durasi Layanan Listrik di Desa Tersedia Minimal &gt;12 Jam perhari",
IF(D170=4,"Durasi Layanan Listrik di Desa Tersedia Minimal &gt;12 Jam perhari",
IF(D170=5,"","Tidak Teridentifikasi"))))</f>
        <v/>
      </c>
      <c r="G170" s="61"/>
      <c r="H170" s="61"/>
      <c r="I170" s="193" t="s">
        <v>1803</v>
      </c>
      <c r="J170" s="193" t="s">
        <v>1800</v>
      </c>
      <c r="K170" s="193" t="s">
        <v>1801</v>
      </c>
      <c r="L170" s="189" t="s">
        <v>1785</v>
      </c>
      <c r="M170" s="189" t="s">
        <v>1726</v>
      </c>
    </row>
    <row r="171" spans="1:13" ht="19.899999999999999" customHeight="1" x14ac:dyDescent="0.25">
      <c r="A171" s="1011">
        <v>43</v>
      </c>
      <c r="B171" s="1012"/>
      <c r="C171" s="158" t="s">
        <v>317</v>
      </c>
      <c r="D171" s="60">
        <f>SUM(D172,D173)</f>
        <v>7</v>
      </c>
      <c r="E171" s="66"/>
      <c r="F171" s="74"/>
      <c r="G171" s="74"/>
      <c r="H171" s="74"/>
      <c r="I171" s="177"/>
      <c r="J171" s="177"/>
      <c r="K171" s="177"/>
      <c r="L171" s="178"/>
      <c r="M171" s="179"/>
    </row>
    <row r="172" spans="1:13" s="73" customFormat="1" ht="105" x14ac:dyDescent="0.25">
      <c r="A172" s="162"/>
      <c r="B172" s="160" t="s">
        <v>41</v>
      </c>
      <c r="C172" s="156" t="s">
        <v>1804</v>
      </c>
      <c r="D172" s="62">
        <f>'INPUTAN DESA ....'!F570</f>
        <v>3</v>
      </c>
      <c r="E172" s="62" t="str">
        <f>IF(D172=1,"Tidak Tersedia Akses Sinyal Telepon di Wilayah Desa",
IF(D172=3,"Tersedia Akses Sinyal Telepon Lemah",
IF(D172=5,"Tersedia Akses Sinyal Telepon Kuat","Tidak Teridentifikasi")))</f>
        <v>Tersedia Akses Sinyal Telepon Lemah</v>
      </c>
      <c r="F172" s="61" t="str">
        <f>IF(D172=1,"Perlu Ketersediaan Akses Sinyal Kuat Telepon Sebagian Besar di Wilayah Desa",
IF(D172=3,"Perlu Ketersediaan Akses Sinyal Kuat Telepon Sebagian Besar di Wilayah Desa",
IF(D172=5,"","Tidak Teridentifikasi")))</f>
        <v>Perlu Ketersediaan Akses Sinyal Kuat Telepon Sebagian Besar di Wilayah Desa</v>
      </c>
      <c r="G172" s="61"/>
      <c r="H172" s="61"/>
      <c r="I172" s="193" t="s">
        <v>1805</v>
      </c>
      <c r="J172" s="193" t="s">
        <v>1806</v>
      </c>
      <c r="K172" s="193" t="s">
        <v>1807</v>
      </c>
      <c r="L172" s="189" t="s">
        <v>1785</v>
      </c>
      <c r="M172" s="189" t="s">
        <v>1726</v>
      </c>
    </row>
    <row r="173" spans="1:13" s="73" customFormat="1" ht="90" x14ac:dyDescent="0.25">
      <c r="A173" s="161"/>
      <c r="B173" s="160" t="s">
        <v>139</v>
      </c>
      <c r="C173" s="156" t="s">
        <v>1808</v>
      </c>
      <c r="D173" s="62">
        <f>'INPUTAN DESA ....'!F571</f>
        <v>4</v>
      </c>
      <c r="E173" s="61" t="str">
        <f>IF(D173=1,"Tidak Tersedia Akses Sinyal Internet di Wilayah Desa",
IF(D173=2,"Terdapat Akses Sinyal 2G dan Lainnya di Wilayah Desa",
IF(D173=4,"Terdapat Akses Sinyal 3G di Wilayah Desa",
IF(D173=5,"Terdapat Akses Sinyal 5G dan 4G di Wilayah Desa","Tidak Teridentifikasi"))))</f>
        <v>Terdapat Akses Sinyal 3G di Wilayah Desa</v>
      </c>
      <c r="F173" s="61" t="str">
        <f>IF(D173=1,"Perlu Minimal Ketersediaan Akses Sinyal 4G di Desa",
IF(D173=2,"Perlu Minimal Ketersediaan Akses Sinyal 4G di Desa",
IF(D173=4,"Perlu Minimal Ketersediaan Akses Sinyal 4G di Desa",
IF(D173=5,"","Tidak Teridentifikasi"))))</f>
        <v>Perlu Minimal Ketersediaan Akses Sinyal 4G di Desa</v>
      </c>
      <c r="G173" s="61"/>
      <c r="H173" s="61"/>
      <c r="I173" s="193" t="s">
        <v>1809</v>
      </c>
      <c r="J173" s="193" t="s">
        <v>1810</v>
      </c>
      <c r="K173" s="193" t="s">
        <v>1811</v>
      </c>
      <c r="L173" s="189" t="s">
        <v>1785</v>
      </c>
      <c r="M173" s="189" t="s">
        <v>1726</v>
      </c>
    </row>
    <row r="174" spans="1:13" ht="19.899999999999999" customHeight="1" x14ac:dyDescent="0.25">
      <c r="A174" s="1011">
        <v>6</v>
      </c>
      <c r="B174" s="1012"/>
      <c r="C174" s="152" t="s">
        <v>441</v>
      </c>
      <c r="D174" s="60">
        <f>SUM(D175,D186)</f>
        <v>43</v>
      </c>
      <c r="E174" s="67"/>
      <c r="F174" s="68"/>
      <c r="G174" s="68"/>
      <c r="H174" s="68"/>
      <c r="I174" s="180"/>
      <c r="J174" s="180"/>
      <c r="K174" s="180"/>
      <c r="L174" s="181"/>
      <c r="M174" s="182"/>
    </row>
    <row r="175" spans="1:13" ht="19.899999999999999" customHeight="1" x14ac:dyDescent="0.25">
      <c r="A175" s="1011"/>
      <c r="B175" s="1012"/>
      <c r="C175" s="152" t="s">
        <v>442</v>
      </c>
      <c r="D175" s="60">
        <f>SUM(D176,D178,D183)</f>
        <v>15</v>
      </c>
      <c r="E175" s="69"/>
      <c r="F175" s="70"/>
      <c r="G175" s="70"/>
      <c r="H175" s="70"/>
      <c r="I175" s="190"/>
      <c r="J175" s="190"/>
      <c r="K175" s="190"/>
      <c r="L175" s="191"/>
      <c r="M175" s="191"/>
    </row>
    <row r="176" spans="1:13" ht="19.899999999999999" customHeight="1" x14ac:dyDescent="0.25">
      <c r="A176" s="1011">
        <v>44</v>
      </c>
      <c r="B176" s="1012"/>
      <c r="C176" s="158" t="s">
        <v>443</v>
      </c>
      <c r="D176" s="60">
        <f>SUM(D177)</f>
        <v>5</v>
      </c>
      <c r="E176" s="71"/>
      <c r="F176" s="72"/>
      <c r="G176" s="72"/>
      <c r="H176" s="72"/>
      <c r="I176" s="183"/>
      <c r="J176" s="183"/>
      <c r="K176" s="183"/>
      <c r="L176" s="184"/>
      <c r="M176" s="184"/>
    </row>
    <row r="177" spans="1:13" s="73" customFormat="1" ht="90" x14ac:dyDescent="0.25">
      <c r="A177" s="159"/>
      <c r="B177" s="160" t="s">
        <v>41</v>
      </c>
      <c r="C177" s="156" t="s">
        <v>1812</v>
      </c>
      <c r="D177" s="62">
        <f>'INPUTAN DESA ....'!F50</f>
        <v>5</v>
      </c>
      <c r="E177" s="62" t="str">
        <f>IF(D177=1,"Pelaksanaan Pelayanan dan Administrasi diberikan Kurang dari Hari Kerja",
IF(D177=3,"Pelaksanaan Pelayanan dan Administrasi diberikan Hanya di Hari Kerja",
IF(D177=5,"Pelaksanaan Pelayanan dan Administrasi diberikan Setiap Hari","Tidak Teridentifikasi")))</f>
        <v>Pelaksanaan Pelayanan dan Administrasi diberikan Setiap Hari</v>
      </c>
      <c r="F177" s="61" t="str">
        <f>IF(D177=1,"Pelaksanaan Layanan dan Administrasi Desa dilakukan Setiap Hari",
IF(D177=3,"Pelaksanaan Layanan dan Administrasi Desa dilakukan Setiap Hari",
IF(D177=5,"","Tidak Teridentifikasi")))</f>
        <v/>
      </c>
      <c r="G177" s="61"/>
      <c r="H177" s="61"/>
      <c r="I177" s="193" t="s">
        <v>1813</v>
      </c>
      <c r="J177" s="193" t="s">
        <v>1814</v>
      </c>
      <c r="K177" s="193" t="s">
        <v>1815</v>
      </c>
      <c r="L177" s="189" t="s">
        <v>1816</v>
      </c>
      <c r="M177" s="189" t="s">
        <v>1817</v>
      </c>
    </row>
    <row r="178" spans="1:13" ht="19.899999999999999" customHeight="1" x14ac:dyDescent="0.25">
      <c r="A178" s="1011">
        <v>45</v>
      </c>
      <c r="B178" s="1012"/>
      <c r="C178" s="153" t="s">
        <v>486</v>
      </c>
      <c r="D178" s="63">
        <f>SUM(D179,D180,D181,D182)</f>
        <v>4</v>
      </c>
      <c r="E178" s="77"/>
      <c r="F178" s="78"/>
      <c r="G178" s="78"/>
      <c r="H178" s="78"/>
      <c r="I178" s="177"/>
      <c r="J178" s="177"/>
      <c r="K178" s="177"/>
      <c r="L178" s="178"/>
      <c r="M178" s="178"/>
    </row>
    <row r="179" spans="1:13" s="73" customFormat="1" ht="90" x14ac:dyDescent="0.25">
      <c r="A179" s="161"/>
      <c r="B179" s="160" t="s">
        <v>41</v>
      </c>
      <c r="C179" s="156" t="s">
        <v>1818</v>
      </c>
      <c r="D179" s="62">
        <f>'INPUTAN DESA ....'!F99</f>
        <v>1</v>
      </c>
      <c r="E179" s="62" t="str">
        <f>IF(D179=1,"Belum Dilaksanakan Publikasi Informasi Pelayanan Kepada Masyarakat Desa",
IF(D179=5,"Sudah Dilaksanakan Publikasi Informasi Pelayanan Kepada Masyarakat Desa","Tidak Teridentifikasi"))</f>
        <v>Belum Dilaksanakan Publikasi Informasi Pelayanan Kepada Masyarakat Desa</v>
      </c>
      <c r="F179" s="61" t="str">
        <f>IF(D179=1,"Mengadakan Publikasi Informasi Pelayanan Kepada masyarakat Desa",
IF(D179=5,"","Tidak Teridentifikasi"))</f>
        <v>Mengadakan Publikasi Informasi Pelayanan Kepada masyarakat Desa</v>
      </c>
      <c r="G179" s="61"/>
      <c r="H179" s="61"/>
      <c r="I179" s="193" t="s">
        <v>1819</v>
      </c>
      <c r="J179" s="193" t="s">
        <v>1820</v>
      </c>
      <c r="K179" s="193" t="s">
        <v>1815</v>
      </c>
      <c r="L179" s="189" t="s">
        <v>1785</v>
      </c>
      <c r="M179" s="189" t="s">
        <v>1726</v>
      </c>
    </row>
    <row r="180" spans="1:13" s="73" customFormat="1" ht="105" x14ac:dyDescent="0.25">
      <c r="A180" s="161"/>
      <c r="B180" s="160" t="s">
        <v>139</v>
      </c>
      <c r="C180" s="156" t="s">
        <v>1821</v>
      </c>
      <c r="D180" s="62">
        <f>'INPUTAN DESA ....'!F100</f>
        <v>1</v>
      </c>
      <c r="E180" s="62" t="str">
        <f>IF(D180=1,"Belum Dilaksanakan Pelayanan Administrasi untuk Masyarakat Desa",
IF(D180=5,"Sudah Dilaksanakan Pelayanan Administrasi untuk Masyarakat Desa","Tidak Teridentifikasi"))</f>
        <v>Belum Dilaksanakan Pelayanan Administrasi untuk Masyarakat Desa</v>
      </c>
      <c r="F180" s="61" t="str">
        <f>IF(D180=1,"Mengadakan Pelayanan Admisitrasi untuk masyarakat Desa",
IF(D180=5,"","Tidak Teridentifikasi"))</f>
        <v>Mengadakan Pelayanan Admisitrasi untuk masyarakat Desa</v>
      </c>
      <c r="G180" s="61"/>
      <c r="H180" s="61"/>
      <c r="I180" s="193" t="s">
        <v>1822</v>
      </c>
      <c r="J180" s="193" t="s">
        <v>1820</v>
      </c>
      <c r="K180" s="193" t="s">
        <v>1823</v>
      </c>
      <c r="L180" s="189" t="s">
        <v>1816</v>
      </c>
      <c r="M180" s="189" t="s">
        <v>1817</v>
      </c>
    </row>
    <row r="181" spans="1:13" s="73" customFormat="1" ht="90" x14ac:dyDescent="0.25">
      <c r="A181" s="161"/>
      <c r="B181" s="160" t="s">
        <v>251</v>
      </c>
      <c r="C181" s="156" t="s">
        <v>1824</v>
      </c>
      <c r="D181" s="62">
        <f>'INPUTAN DESA ....'!F101</f>
        <v>1</v>
      </c>
      <c r="E181" s="62" t="str">
        <f>IF(D181=1,"Belum Dilaksanakan Pelayanan Pengaduan untuk Masyarakat Desa",
IF(D181=5,"Sudah Dilaksanakan Pelayanan Pengaduan untuk Masyarakat Desa","Tidak Teridentifikasi"))</f>
        <v>Belum Dilaksanakan Pelayanan Pengaduan untuk Masyarakat Desa</v>
      </c>
      <c r="F181" s="61" t="str">
        <f>IF(D181=1,"Mengadakan Pelayanan Pengaduan untuk masyarakat Desa",
IF(D181=5,"","Tidak Teridentifikasi"))</f>
        <v>Mengadakan Pelayanan Pengaduan untuk masyarakat Desa</v>
      </c>
      <c r="G181" s="61"/>
      <c r="H181" s="61"/>
      <c r="I181" s="193" t="s">
        <v>1825</v>
      </c>
      <c r="J181" s="193" t="s">
        <v>1820</v>
      </c>
      <c r="K181" s="193" t="s">
        <v>1815</v>
      </c>
      <c r="L181" s="189" t="s">
        <v>1816</v>
      </c>
      <c r="M181" s="189" t="s">
        <v>1817</v>
      </c>
    </row>
    <row r="182" spans="1:13" s="73" customFormat="1" ht="75" x14ac:dyDescent="0.25">
      <c r="A182" s="161"/>
      <c r="B182" s="160" t="s">
        <v>255</v>
      </c>
      <c r="C182" s="156" t="s">
        <v>1826</v>
      </c>
      <c r="D182" s="62">
        <f>'INPUTAN DESA ....'!F102</f>
        <v>1</v>
      </c>
      <c r="E182" s="62" t="str">
        <f>IF(D182=1,"Belum Dilaksanakan Pelayanan Lainnya untuk Masyarakat Desa",
IF(D182=5,"Sudah Dilaksanakan Pelayanan Lainnya untuk Masyarakat Desa","Tidak Teridentifikasi"))</f>
        <v>Belum Dilaksanakan Pelayanan Lainnya untuk Masyarakat Desa</v>
      </c>
      <c r="F182" s="61" t="str">
        <f>IF(D182=1,"Mengadakan Pelayanan Lainnya untuk masyarakat Desa",
IF(D182=5,"","Tidak Teridentifikasi"))</f>
        <v>Mengadakan Pelayanan Lainnya untuk masyarakat Desa</v>
      </c>
      <c r="G182" s="61"/>
      <c r="H182" s="61"/>
      <c r="I182" s="193" t="s">
        <v>1827</v>
      </c>
      <c r="J182" s="193" t="s">
        <v>1828</v>
      </c>
      <c r="K182" s="193" t="s">
        <v>1829</v>
      </c>
      <c r="L182" s="189" t="s">
        <v>1816</v>
      </c>
      <c r="M182" s="189" t="s">
        <v>1817</v>
      </c>
    </row>
    <row r="183" spans="1:13" ht="19.899999999999999" customHeight="1" x14ac:dyDescent="0.25">
      <c r="A183" s="1011">
        <v>46</v>
      </c>
      <c r="B183" s="1012"/>
      <c r="C183" s="158" t="s">
        <v>492</v>
      </c>
      <c r="D183" s="60">
        <f>SUM(D184,D185)</f>
        <v>6</v>
      </c>
      <c r="E183" s="66"/>
      <c r="F183" s="74"/>
      <c r="G183" s="74"/>
      <c r="H183" s="74"/>
      <c r="I183" s="177"/>
      <c r="J183" s="177"/>
      <c r="K183" s="177"/>
      <c r="L183" s="178"/>
      <c r="M183" s="178"/>
    </row>
    <row r="184" spans="1:13" s="73" customFormat="1" ht="60" x14ac:dyDescent="0.25">
      <c r="A184" s="161"/>
      <c r="B184" s="160" t="s">
        <v>41</v>
      </c>
      <c r="C184" s="156" t="s">
        <v>1830</v>
      </c>
      <c r="D184" s="62">
        <f>'INPUTAN DESA ....'!F105</f>
        <v>1</v>
      </c>
      <c r="E184" s="61" t="str">
        <f>IF(D184=1,"Musdes Terlaksana 0-2 Kali dalam Setahun Terakhir",
IF(D184=2,"Musdes Terlaksana 3-4 Kali dalam Setahun Terakhir",
IF(D184=3,"Musdes Terlaksana 5-6 Kali dalam Setahun Terakhir",
IF(D184=4,"Musdes Terlaksana 7-9 Kali dalam Setahun Terakhir",
IF(D184=5,"Musdes Terlaksana &gt;=10 Kali dalam Setahun Terakhir","Tidak Teridentifikasi")))))</f>
        <v>Musdes Terlaksana 0-2 Kali dalam Setahun Terakhir</v>
      </c>
      <c r="F184" s="61" t="str">
        <f>IF(D184=1,"Perlu Meningkatkan Frekuensi Pelaksanaan Musdes Minimal 10 kali PerTahun",
IF(D184=2,"Perlu Meningkatkan Frekuensi Pelaksanaan Musdes Minimal 10 kali PerTahun",
IF(D184=3,"Perlu Meningkatkan Frekuensi Pelaksanaan Musdes Minimal 10 kali PerTahun",
IF(D184=4,"Perlu Meningkatkan Frekuensi Pelaksanaan Musdes Minimal 10 kali PerTahun",
IF(D184=5,"","Tidak Teridentifikasi")))))</f>
        <v>Perlu Meningkatkan Frekuensi Pelaksanaan Musdes Minimal 10 kali PerTahun</v>
      </c>
      <c r="G184" s="61"/>
      <c r="H184" s="61"/>
      <c r="I184" s="193" t="s">
        <v>1831</v>
      </c>
      <c r="J184" s="193" t="s">
        <v>1832</v>
      </c>
      <c r="K184" s="193" t="s">
        <v>1833</v>
      </c>
      <c r="L184" s="189" t="s">
        <v>1816</v>
      </c>
      <c r="M184" s="189" t="s">
        <v>1834</v>
      </c>
    </row>
    <row r="185" spans="1:13" s="73" customFormat="1" ht="60" x14ac:dyDescent="0.25">
      <c r="A185" s="161"/>
      <c r="B185" s="160" t="s">
        <v>139</v>
      </c>
      <c r="C185" s="156" t="s">
        <v>1835</v>
      </c>
      <c r="D185" s="62">
        <f>'INPUTAN DESA ....'!F109</f>
        <v>5</v>
      </c>
      <c r="E185" s="62" t="str">
        <f>IF(D185=1,"Musdes Tidak Dihadiri oleh Unsur Masyarakat atau Unsur Masyarakat Lainnya",
IF(D185=5,"Musdes Dihadiri oleh Unsur Masyarakat atau Unsur Masyarakat Lainnya","Tidak Teridentifikasi"))</f>
        <v>Musdes Dihadiri oleh Unsur Masyarakat atau Unsur Masyarakat Lainnya</v>
      </c>
      <c r="F185" s="61" t="str">
        <f>IF(D185=1,"Pelaksanaan Musdes Perlu dihadiri oleh Unsur Masyarakat atau unsur Masyarakat Lainnya",
IF(D185=5,"","Tidak Teridentifikasi"))</f>
        <v/>
      </c>
      <c r="G185" s="61"/>
      <c r="H185" s="61"/>
      <c r="I185" s="193" t="s">
        <v>1831</v>
      </c>
      <c r="J185" s="193" t="s">
        <v>1836</v>
      </c>
      <c r="K185" s="193" t="s">
        <v>1837</v>
      </c>
      <c r="L185" s="189" t="s">
        <v>1816</v>
      </c>
      <c r="M185" s="189" t="s">
        <v>1834</v>
      </c>
    </row>
    <row r="186" spans="1:13" ht="19.899999999999999" customHeight="1" x14ac:dyDescent="0.25">
      <c r="A186" s="1011"/>
      <c r="B186" s="1012"/>
      <c r="C186" s="152" t="s">
        <v>500</v>
      </c>
      <c r="D186" s="64">
        <f>SUM(D187,D191)</f>
        <v>28</v>
      </c>
      <c r="E186" s="82"/>
      <c r="F186" s="83"/>
      <c r="G186" s="83"/>
      <c r="H186" s="83"/>
      <c r="I186" s="180"/>
      <c r="J186" s="180"/>
      <c r="K186" s="180"/>
      <c r="L186" s="181"/>
      <c r="M186" s="181"/>
    </row>
    <row r="187" spans="1:13" ht="19.899999999999999" customHeight="1" x14ac:dyDescent="0.25">
      <c r="A187" s="1011">
        <v>47</v>
      </c>
      <c r="B187" s="1012"/>
      <c r="C187" s="158" t="s">
        <v>501</v>
      </c>
      <c r="D187" s="60">
        <f>SUM(D188,D189,D190)</f>
        <v>11</v>
      </c>
      <c r="E187" s="71"/>
      <c r="F187" s="72"/>
      <c r="G187" s="72"/>
      <c r="H187" s="72"/>
      <c r="I187" s="183"/>
      <c r="J187" s="183"/>
      <c r="K187" s="183"/>
      <c r="L187" s="184"/>
      <c r="M187" s="184"/>
    </row>
    <row r="188" spans="1:13" s="73" customFormat="1" ht="75" x14ac:dyDescent="0.25">
      <c r="A188" s="157"/>
      <c r="B188" s="155" t="s">
        <v>41</v>
      </c>
      <c r="C188" s="156" t="s">
        <v>1838</v>
      </c>
      <c r="D188" s="62">
        <f>'INPUTAN DESA ....'!F136</f>
        <v>5</v>
      </c>
      <c r="E188" s="62" t="str">
        <f>IF(D188=1,"Tidak Terdapat Pendapan Asli Desa (PADes)",
IF(D188=5,"Terdapat Pendapan Asli Desa (PADes)","Tidak Teridentifikasi"))</f>
        <v>Terdapat Pendapan Asli Desa (PADes)</v>
      </c>
      <c r="F188" s="61" t="str">
        <f>IF(D188=1,"Perlu Memperoleh Pendapatan Asli Desa",
IF(D188=5,"","Tidak Teridentifikasi"))</f>
        <v/>
      </c>
      <c r="G188" s="61"/>
      <c r="H188" s="61"/>
      <c r="I188" s="193" t="s">
        <v>1839</v>
      </c>
      <c r="J188" s="193" t="s">
        <v>1840</v>
      </c>
      <c r="K188" s="193" t="s">
        <v>1841</v>
      </c>
      <c r="L188" s="189" t="s">
        <v>813</v>
      </c>
      <c r="M188" s="189" t="s">
        <v>1726</v>
      </c>
    </row>
    <row r="189" spans="1:13" s="73" customFormat="1" ht="105" x14ac:dyDescent="0.25">
      <c r="A189" s="157"/>
      <c r="B189" s="155" t="s">
        <v>139</v>
      </c>
      <c r="C189" s="156" t="s">
        <v>1842</v>
      </c>
      <c r="D189" s="93">
        <f>'INPUTAN DESA ....'!F144</f>
        <v>5</v>
      </c>
      <c r="E189" s="61" t="str">
        <f>IF(D189=1,"PADes Turun",
IF(D189=2,"PADes Tetap",
IF(D189=4,"PADes Meningkat 0-1%",
IF(D189=5,"PADes Meningkat &gt;1%","Tidak Teridentifikasi"))))</f>
        <v>PADes Meningkat &gt;1%</v>
      </c>
      <c r="F189" s="61" t="str">
        <f>IF(D189=1,"Perlu Adanya Peningkatan PADes",
IF(D189=2,"Perlu Adanya Peningkatan PADes",
IF(D189=4,"Perlu Adanya Peningkatan PADes",
IF(D189=5,"","Tidak Teridentifikasi"))))</f>
        <v/>
      </c>
      <c r="G189" s="61"/>
      <c r="H189" s="61"/>
      <c r="I189" s="193" t="s">
        <v>1843</v>
      </c>
      <c r="J189" s="193" t="s">
        <v>1840</v>
      </c>
      <c r="K189" s="193" t="s">
        <v>1841</v>
      </c>
      <c r="L189" s="189" t="s">
        <v>813</v>
      </c>
      <c r="M189" s="189" t="s">
        <v>1726</v>
      </c>
    </row>
    <row r="190" spans="1:13" s="73" customFormat="1" ht="75" x14ac:dyDescent="0.25">
      <c r="A190" s="161"/>
      <c r="B190" s="155" t="s">
        <v>251</v>
      </c>
      <c r="C190" s="156" t="s">
        <v>1844</v>
      </c>
      <c r="D190" s="62">
        <f>'INPUTAN DESA ....'!F145</f>
        <v>1</v>
      </c>
      <c r="E190" s="62" t="str">
        <f>IF(D190=1,"Tidak dilakukan Penyertaan Modal dari Dana Desa Kepada BUMDes",
IF(D190=5,"Adanya Penyertaan Modal dari Dana Desa Kepada BUMDes","Tidak Teridentifikasi"))</f>
        <v>Tidak dilakukan Penyertaan Modal dari Dana Desa Kepada BUMDes</v>
      </c>
      <c r="F190" s="61" t="str">
        <f>IF(D190=1,"Perlu Pernyertaan Modal dari Dana Desa Kepada Bumdesa",
IF(D190=5,"","Tidak Teridentifikasi"))</f>
        <v>Perlu Pernyertaan Modal dari Dana Desa Kepada Bumdesa</v>
      </c>
      <c r="G190" s="61"/>
      <c r="H190" s="61"/>
      <c r="I190" s="193" t="s">
        <v>1845</v>
      </c>
      <c r="J190" s="193" t="s">
        <v>1846</v>
      </c>
      <c r="K190" s="193" t="s">
        <v>1847</v>
      </c>
      <c r="L190" s="189" t="s">
        <v>813</v>
      </c>
      <c r="M190" s="189" t="s">
        <v>1726</v>
      </c>
    </row>
    <row r="191" spans="1:13" ht="19.899999999999999" customHeight="1" x14ac:dyDescent="0.25">
      <c r="A191" s="1011">
        <v>48</v>
      </c>
      <c r="B191" s="1012"/>
      <c r="C191" s="158" t="s">
        <v>508</v>
      </c>
      <c r="D191" s="63">
        <f>SUM(D192,D193,D194,D195,D196,D197)</f>
        <v>17</v>
      </c>
      <c r="E191" s="77"/>
      <c r="F191" s="78"/>
      <c r="G191" s="78"/>
      <c r="H191" s="78"/>
      <c r="I191" s="177"/>
      <c r="J191" s="177"/>
      <c r="K191" s="177"/>
      <c r="L191" s="178"/>
      <c r="M191" s="178"/>
    </row>
    <row r="192" spans="1:13" s="73" customFormat="1" ht="90" x14ac:dyDescent="0.25">
      <c r="A192" s="161"/>
      <c r="B192" s="160" t="s">
        <v>41</v>
      </c>
      <c r="C192" s="156" t="s">
        <v>1848</v>
      </c>
      <c r="D192" s="62">
        <f>'INPUTAN DESA ....'!F151</f>
        <v>3</v>
      </c>
      <c r="E192" s="62" t="str">
        <f>IF(D192=1,"Tidak Memilki Aset Tanah Desa",
IF(D192=3,"Terdapat Aset Tanah Desa, Namun Tidak Produktif untuk Kepentingan Masyarakat",
IF(D192=5,"Terdapat Aset Tanah Desa, Namun Produktif untuk Kepentingan Masyarakat","Tidak Teridentifikasi")))</f>
        <v>Terdapat Aset Tanah Desa, Namun Tidak Produktif untuk Kepentingan Masyarakat</v>
      </c>
      <c r="F192" s="61" t="str">
        <f>IF(D192=1,"Desa Perlu Memiliki Aset Tanah Desa yang Produktif untuk Kepentingan Masyarakat",
IF(D192=3,"Desa Perlu Memiliki Aset Tanah Desa yang Produktif untuk Kepentingan Masyarakat",
IF(D192=5,"","Tidak Teridentifikasi")))</f>
        <v>Desa Perlu Memiliki Aset Tanah Desa yang Produktif untuk Kepentingan Masyarakat</v>
      </c>
      <c r="G192" s="75"/>
      <c r="H192" s="75"/>
      <c r="I192" s="193" t="s">
        <v>1849</v>
      </c>
      <c r="J192" s="193" t="s">
        <v>1850</v>
      </c>
      <c r="K192" s="193" t="s">
        <v>1851</v>
      </c>
      <c r="L192" s="189" t="s">
        <v>813</v>
      </c>
      <c r="M192" s="189" t="s">
        <v>1726</v>
      </c>
    </row>
    <row r="193" spans="1:13" s="73" customFormat="1" ht="105" x14ac:dyDescent="0.25">
      <c r="A193" s="161"/>
      <c r="B193" s="160" t="s">
        <v>139</v>
      </c>
      <c r="C193" s="156" t="s">
        <v>1852</v>
      </c>
      <c r="D193" s="62">
        <f>'INPUTAN DESA ....'!F152</f>
        <v>5</v>
      </c>
      <c r="E193" s="62" t="str">
        <f>IF(D193=1,"Tidak Memilki Aset Kantor Desa",
IF(D193=3,"Terdapat Aset Kantor Desa, Namun Tidak Produktif untuk Kepentingan Masyarakat",
IF(D193=5,"Terdapat Aset Kantor Desa, Namun Produktif untuk Kepentingan Masyarakat","Tidak Teridentifikasi")))</f>
        <v>Terdapat Aset Kantor Desa, Namun Produktif untuk Kepentingan Masyarakat</v>
      </c>
      <c r="F193" s="61" t="str">
        <f>IF(D193=1,"Desa Perlu Memiliki Aset Kantor Desa yang Produktif untuk Kepentingan Masyarakat",
IF(D193=3,"Desa Perlu Memiliki Aset Kantor Desa yang Produktif untuk Kepentingan Masyarakat",
IF(D193=5,"","Tidak Teridentifikasi")))</f>
        <v/>
      </c>
      <c r="G193" s="75"/>
      <c r="H193" s="75"/>
      <c r="I193" s="193" t="s">
        <v>1853</v>
      </c>
      <c r="J193" s="193" t="s">
        <v>1850</v>
      </c>
      <c r="K193" s="193" t="s">
        <v>1854</v>
      </c>
      <c r="L193" s="189" t="s">
        <v>1855</v>
      </c>
      <c r="M193" s="189" t="s">
        <v>1817</v>
      </c>
    </row>
    <row r="194" spans="1:13" s="73" customFormat="1" ht="105" x14ac:dyDescent="0.25">
      <c r="A194" s="161"/>
      <c r="B194" s="160" t="s">
        <v>251</v>
      </c>
      <c r="C194" s="156" t="s">
        <v>1856</v>
      </c>
      <c r="D194" s="62">
        <f>'INPUTAN DESA ....'!F153</f>
        <v>1</v>
      </c>
      <c r="E194" s="62" t="str">
        <f>IF(D194=1,"Tidak Memilki Aset Pasar Desa",
IF(D194=3,"Terdapat Aset Pasar Desa, Namun Tidak Produktif untuk Kepentingan Masyarakat",
IF(D194=5,"Terdapat Aset Pasar Desa, Namun Produktif untuk Kepentingan Masyarakat","Tidak Teridentifikasi")))</f>
        <v>Tidak Memilki Aset Pasar Desa</v>
      </c>
      <c r="F194" s="61" t="str">
        <f>IF(D194=1,"Desa Perlu Memiliki Aset Pasar Desa yang Produktif untuk Kepentingan Masyarakat",
IF(D194=3,"Desa Perlu Memiliki Aset Pasar Desa yang Produktif untuk Kepentingan Masyarakat",
IF(D194=5,"","Tidak Teridentifikasi")))</f>
        <v>Desa Perlu Memiliki Aset Pasar Desa yang Produktif untuk Kepentingan Masyarakat</v>
      </c>
      <c r="G194" s="75"/>
      <c r="H194" s="75"/>
      <c r="I194" s="193" t="s">
        <v>1857</v>
      </c>
      <c r="J194" s="193" t="s">
        <v>1846</v>
      </c>
      <c r="K194" s="193" t="s">
        <v>1858</v>
      </c>
      <c r="L194" s="189" t="s">
        <v>1855</v>
      </c>
      <c r="M194" s="189" t="s">
        <v>1726</v>
      </c>
    </row>
    <row r="195" spans="1:13" s="73" customFormat="1" ht="90" x14ac:dyDescent="0.25">
      <c r="A195" s="161"/>
      <c r="B195" s="160" t="s">
        <v>255</v>
      </c>
      <c r="C195" s="156" t="s">
        <v>1859</v>
      </c>
      <c r="D195" s="62">
        <f>'INPUTAN DESA ....'!F154</f>
        <v>1</v>
      </c>
      <c r="E195" s="62" t="str">
        <f>IF(D195=1,"Tidak Memilki Aset Desa Lainnya",
IF(D195=3,"Terdapat Aset Desa Lainnya, Namun Tidak Produktif untuk Kepentingan Masyarakat",
IF(D195=5,"Terdapat Desa Lainnya, Namun Produktif untuk Kepentingan Masyarakat","Tidak Teridentifikasi")))</f>
        <v>Tidak Memilki Aset Desa Lainnya</v>
      </c>
      <c r="F195" s="61" t="str">
        <f>IF(D195=1,"Desa Perlu Memiliki Aset Lainnya yang Produktif untuk Kepentingan Masyarakat",
IF(D195=3,"Desa Perlu Memiliki Aset Lainnya yang Produktif untuk Kepentingan Masyarakat",
IF(D195=5,"","Tidak Teridentifikasi")))</f>
        <v>Desa Perlu Memiliki Aset Lainnya yang Produktif untuk Kepentingan Masyarakat</v>
      </c>
      <c r="G195" s="75"/>
      <c r="H195" s="75"/>
      <c r="I195" s="193" t="s">
        <v>1860</v>
      </c>
      <c r="J195" s="193" t="s">
        <v>1861</v>
      </c>
      <c r="K195" s="193" t="s">
        <v>1858</v>
      </c>
      <c r="L195" s="189" t="s">
        <v>1855</v>
      </c>
      <c r="M195" s="189" t="s">
        <v>1726</v>
      </c>
    </row>
    <row r="196" spans="1:13" s="73" customFormat="1" ht="120" x14ac:dyDescent="0.25">
      <c r="A196" s="161"/>
      <c r="B196" s="160" t="s">
        <v>252</v>
      </c>
      <c r="C196" s="156" t="s">
        <v>1862</v>
      </c>
      <c r="D196" s="93">
        <f>'INPUTAN DESA ....'!F155</f>
        <v>2</v>
      </c>
      <c r="E196" s="61" t="str">
        <f>IF(D196=1,"Aset Desa yabg Dimiliki Produktif untuk Kepentingan Masyarakat 0-20%",
IF(D196=2,"Aset Desa yabg Dimiliki Produktif untuk Kepentingan Masyarakat &gt;20-40%",
IF(D196=3,"Aset Desa yabg Dimiliki Produktif untuk Kepentingan Masyarakat &gt;40-60%",
IF(D196=4,"Aset Desa yabg Dimiliki Produktif untuk Kepentingan Masyarakat &gt;60-80%",
IF(D196=5,"Aset Desa yabg Dimiliki Produktif untuk Kepentingan Masyarakat &gt;80-100%","Tidak Teridentifikasi")))))</f>
        <v>Aset Desa yabg Dimiliki Produktif untuk Kepentingan Masyarakat &gt;20-40%</v>
      </c>
      <c r="F196" s="61" t="str">
        <f>IF(D196=1,"Perlu Peningkatan Aset Desa yang Produktif untuk Kepentingan Masyarakat",
IF(D196=2,"Perlu Peningkatan Aset Desa yang Produktif untuk Kepentingan Masyarakat",
IF(D196=3,"Perlu Peningkatan Aset Desa yang Produktif untuk Kepentingan Masyarakat",
IF(D196=4,"Perlu Peningkatan Aset Desa yang Produktif untuk Kepentingan Masyarakat",
IF(D196=5,"","Tidak Teridentifikasi")))))</f>
        <v>Perlu Peningkatan Aset Desa yang Produktif untuk Kepentingan Masyarakat</v>
      </c>
      <c r="G196" s="61"/>
      <c r="H196" s="61"/>
      <c r="I196" s="193" t="s">
        <v>1863</v>
      </c>
      <c r="J196" s="193" t="s">
        <v>1864</v>
      </c>
      <c r="K196" s="193" t="s">
        <v>1865</v>
      </c>
      <c r="L196" s="189" t="s">
        <v>1855</v>
      </c>
      <c r="M196" s="189" t="s">
        <v>1726</v>
      </c>
    </row>
    <row r="197" spans="1:13" s="73" customFormat="1" ht="105" x14ac:dyDescent="0.25">
      <c r="A197" s="161"/>
      <c r="B197" s="160" t="s">
        <v>253</v>
      </c>
      <c r="C197" s="156" t="s">
        <v>1866</v>
      </c>
      <c r="D197" s="62">
        <f>'INPUTAN DESA ....'!F156</f>
        <v>5</v>
      </c>
      <c r="E197" s="62" t="str">
        <f>IF(D197=1,"Belum Dilakukan Inventaris Aset Desa",
IF(D197=5,"Sudah Dilakukan Inventarisasi Aset Desa","Tidak Teridentifikasi"))</f>
        <v>Sudah Dilakukan Inventarisasi Aset Desa</v>
      </c>
      <c r="F197" s="61" t="str">
        <f>IF(D197=1,"Perlu Melakukan Inventarisasi Aset Desa",
IF(D197=5,"","Tidak Teridentifikasi"))</f>
        <v/>
      </c>
      <c r="G197" s="61"/>
      <c r="H197" s="61"/>
      <c r="I197" s="193" t="s">
        <v>1867</v>
      </c>
      <c r="J197" s="193" t="s">
        <v>1868</v>
      </c>
      <c r="K197" s="193" t="s">
        <v>1869</v>
      </c>
      <c r="L197" s="189"/>
      <c r="M197" s="189"/>
    </row>
    <row r="198" spans="1:13" s="73" customFormat="1" ht="30" customHeight="1" x14ac:dyDescent="0.25">
      <c r="A198" s="84"/>
      <c r="B198" s="84"/>
      <c r="C198" s="85"/>
      <c r="D198" s="86"/>
      <c r="E198" s="86"/>
      <c r="F198" s="87"/>
      <c r="G198" s="87"/>
      <c r="H198" s="87"/>
      <c r="I198" s="97"/>
      <c r="J198" s="97"/>
      <c r="K198" s="97"/>
      <c r="L198" s="88"/>
      <c r="M198" s="88"/>
    </row>
    <row r="199" spans="1:13" s="73" customFormat="1" ht="30" hidden="1" customHeight="1" x14ac:dyDescent="0.25">
      <c r="C199" s="89" t="s">
        <v>1870</v>
      </c>
      <c r="D199" s="90">
        <f>(D4*26.77%)+(D55*13.39%)+(D83*25.2%)+(D130*14.17%)+(D156*7.87%)+(D174*12.6%)</f>
        <v>67.142099999999999</v>
      </c>
      <c r="E199" s="94">
        <f>ROUND((D199/123.9764)*100,2)</f>
        <v>54.16</v>
      </c>
      <c r="F199" s="86"/>
      <c r="G199" s="86"/>
      <c r="H199" s="86"/>
      <c r="I199" s="97"/>
      <c r="J199" s="97"/>
      <c r="K199" s="97"/>
      <c r="L199" s="88"/>
      <c r="M199" s="88"/>
    </row>
    <row r="200" spans="1:13" s="73" customFormat="1" ht="30" hidden="1" customHeight="1" x14ac:dyDescent="0.25">
      <c r="C200" s="89" t="s">
        <v>1871</v>
      </c>
      <c r="D200" s="1013" t="str">
        <f>IF(AND(E199&gt;=79.63,E199&lt;=100),"MANDIRI",
IF(AND(E199&gt;=69.35,E199&lt;79.63),"MAJU",
IF(AND(E199&gt;=57.39,E199&lt;69.35),"BERKEMBANG",
IF(AND(E199&gt;=49.49,E199&lt;57.39),"TERTINGGAL",
IF(AND(E199&gt;=0,E199&lt;49.49),"SANGAT TERTINGGAL","TIDAK TERIDENTIFIKASI")))))</f>
        <v>TERTINGGAL</v>
      </c>
      <c r="E200" s="1013"/>
      <c r="F200" s="86"/>
      <c r="G200" s="86"/>
      <c r="H200" s="86"/>
      <c r="I200" s="97"/>
      <c r="J200" s="97"/>
      <c r="K200" s="97"/>
      <c r="L200" s="88"/>
      <c r="M200" s="88"/>
    </row>
  </sheetData>
  <sheetProtection algorithmName="SHA-512" hashValue="afO3V7I3PsoA6VoF479z6OQbKGTZcY31+b7sRg8oUPPwnJLdRiH1Qg4COsCvIwgGSTDdOGPYHyLtLPawO2XKcw==" saltValue="+oyhS7Mypopz1kF+4Mfr4A==" spinCount="100000" sheet="1" objects="1" scenarios="1"/>
  <mergeCells count="76">
    <mergeCell ref="A13:B13"/>
    <mergeCell ref="A16:B16"/>
    <mergeCell ref="A19:B19"/>
    <mergeCell ref="A10:B10"/>
    <mergeCell ref="A2:B3"/>
    <mergeCell ref="A4:B4"/>
    <mergeCell ref="A5:B5"/>
    <mergeCell ref="A6:B6"/>
    <mergeCell ref="C2:C3"/>
    <mergeCell ref="D2:D3"/>
    <mergeCell ref="E2:E3"/>
    <mergeCell ref="H2:H3"/>
    <mergeCell ref="I2:M2"/>
    <mergeCell ref="F2:F3"/>
    <mergeCell ref="G2:G3"/>
    <mergeCell ref="A20:B20"/>
    <mergeCell ref="A22:B22"/>
    <mergeCell ref="A64:B64"/>
    <mergeCell ref="A29:B29"/>
    <mergeCell ref="A34:B34"/>
    <mergeCell ref="A39:B39"/>
    <mergeCell ref="A44:B44"/>
    <mergeCell ref="A47:B47"/>
    <mergeCell ref="A48:B48"/>
    <mergeCell ref="A53:B53"/>
    <mergeCell ref="A55:B55"/>
    <mergeCell ref="A56:B56"/>
    <mergeCell ref="A57:B57"/>
    <mergeCell ref="A60:B60"/>
    <mergeCell ref="A25:B25"/>
    <mergeCell ref="A94:B94"/>
    <mergeCell ref="A66:B66"/>
    <mergeCell ref="A72:B72"/>
    <mergeCell ref="A75:B75"/>
    <mergeCell ref="A76:B76"/>
    <mergeCell ref="A79:B79"/>
    <mergeCell ref="A81:B81"/>
    <mergeCell ref="A83:B83"/>
    <mergeCell ref="A84:B84"/>
    <mergeCell ref="A85:B85"/>
    <mergeCell ref="A88:B88"/>
    <mergeCell ref="A92:B92"/>
    <mergeCell ref="A132:B132"/>
    <mergeCell ref="A97:B97"/>
    <mergeCell ref="A98:B98"/>
    <mergeCell ref="A101:B101"/>
    <mergeCell ref="A104:B104"/>
    <mergeCell ref="A107:B107"/>
    <mergeCell ref="A110:B110"/>
    <mergeCell ref="A113:B113"/>
    <mergeCell ref="A116:B116"/>
    <mergeCell ref="A123:B123"/>
    <mergeCell ref="A130:B130"/>
    <mergeCell ref="A131:B131"/>
    <mergeCell ref="A168:B168"/>
    <mergeCell ref="A137:B137"/>
    <mergeCell ref="A141:B141"/>
    <mergeCell ref="A143:B143"/>
    <mergeCell ref="A149:B149"/>
    <mergeCell ref="A150:B150"/>
    <mergeCell ref="A156:B156"/>
    <mergeCell ref="A157:B157"/>
    <mergeCell ref="A158:B158"/>
    <mergeCell ref="A161:B161"/>
    <mergeCell ref="A164:B164"/>
    <mergeCell ref="A165:B165"/>
    <mergeCell ref="A186:B186"/>
    <mergeCell ref="A187:B187"/>
    <mergeCell ref="A191:B191"/>
    <mergeCell ref="D200:E200"/>
    <mergeCell ref="A171:B171"/>
    <mergeCell ref="A174:B174"/>
    <mergeCell ref="A175:B175"/>
    <mergeCell ref="A176:B176"/>
    <mergeCell ref="A178:B178"/>
    <mergeCell ref="A183:B183"/>
  </mergeCells>
  <pageMargins left="0.7" right="0.7" top="0.75" bottom="0.75" header="0.3" footer="0.3"/>
  <pageSetup orientation="portrait" r:id="rId1"/>
  <ignoredErrors>
    <ignoredError sqref="D8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93</vt:i4>
      </vt:variant>
    </vt:vector>
  </HeadingPairs>
  <TitlesOfParts>
    <vt:vector size="97" baseType="lpstr">
      <vt:lpstr>PERSETUJUAN</vt:lpstr>
      <vt:lpstr>INPUTAN DESA ....</vt:lpstr>
      <vt:lpstr>ISU DESA dan PERDESAAN</vt:lpstr>
      <vt:lpstr>RUMUSAN</vt:lpstr>
      <vt:lpstr>ada</vt:lpstr>
      <vt:lpstr>adaangkot</vt:lpstr>
      <vt:lpstr>adatidak</vt:lpstr>
      <vt:lpstr>ae</vt:lpstr>
      <vt:lpstr>agama</vt:lpstr>
      <vt:lpstr>aktiftidak</vt:lpstr>
      <vt:lpstr>anggaran</vt:lpstr>
      <vt:lpstr>belum</vt:lpstr>
      <vt:lpstr>bencana</vt:lpstr>
      <vt:lpstr>biayainternet</vt:lpstr>
      <vt:lpstr>bidan</vt:lpstr>
      <vt:lpstr>bpjs</vt:lpstr>
      <vt:lpstr>buah</vt:lpstr>
      <vt:lpstr>bumdes</vt:lpstr>
      <vt:lpstr>danaposyandu</vt:lpstr>
      <vt:lpstr>diisi</vt:lpstr>
      <vt:lpstr>domestikekspor</vt:lpstr>
      <vt:lpstr>duaempat</vt:lpstr>
      <vt:lpstr>duaempatlima</vt:lpstr>
      <vt:lpstr>dualima</vt:lpstr>
      <vt:lpstr>f</vt:lpstr>
      <vt:lpstr>garam</vt:lpstr>
      <vt:lpstr>internet</vt:lpstr>
      <vt:lpstr>jabataninforman</vt:lpstr>
      <vt:lpstr>jalanrusak</vt:lpstr>
      <vt:lpstr>jalanwisata</vt:lpstr>
      <vt:lpstr>jarakwisata</vt:lpstr>
      <vt:lpstr>jaringan</vt:lpstr>
      <vt:lpstr>jembatan</vt:lpstr>
      <vt:lpstr>jenisprogram</vt:lpstr>
      <vt:lpstr>jenisprogram1</vt:lpstr>
      <vt:lpstr>k5ratus</vt:lpstr>
      <vt:lpstr>Kades</vt:lpstr>
      <vt:lpstr>kebun</vt:lpstr>
      <vt:lpstr>kejahatan</vt:lpstr>
      <vt:lpstr>kelamin</vt:lpstr>
      <vt:lpstr>kelolawisata</vt:lpstr>
      <vt:lpstr>kl</vt:lpstr>
      <vt:lpstr>kosong</vt:lpstr>
      <vt:lpstr>kuat</vt:lpstr>
      <vt:lpstr>L5ratus</vt:lpstr>
      <vt:lpstr>lemah</vt:lpstr>
      <vt:lpstr>lima</vt:lpstr>
      <vt:lpstr>limadua</vt:lpstr>
      <vt:lpstr>mitra</vt:lpstr>
      <vt:lpstr>nol</vt:lpstr>
      <vt:lpstr>noldua</vt:lpstr>
      <vt:lpstr>nollima</vt:lpstr>
      <vt:lpstr>nolsatu</vt:lpstr>
      <vt:lpstr>noltiga</vt:lpstr>
      <vt:lpstr>nonpln</vt:lpstr>
      <vt:lpstr>obat</vt:lpstr>
      <vt:lpstr>optimal</vt:lpstr>
      <vt:lpstr>pangan</vt:lpstr>
      <vt:lpstr>paud</vt:lpstr>
      <vt:lpstr>paudpemerintah</vt:lpstr>
      <vt:lpstr>paudpemerintahswasta</vt:lpstr>
      <vt:lpstr>pedagang</vt:lpstr>
      <vt:lpstr>Pemuda</vt:lpstr>
      <vt:lpstr>pendampingan</vt:lpstr>
      <vt:lpstr>penyedia</vt:lpstr>
      <vt:lpstr>perangkatdesa</vt:lpstr>
      <vt:lpstr>periodekades</vt:lpstr>
      <vt:lpstr>PerluTidakperlu</vt:lpstr>
      <vt:lpstr>pustu</vt:lpstr>
      <vt:lpstr>rumah</vt:lpstr>
      <vt:lpstr>satu</vt:lpstr>
      <vt:lpstr>satudanlima</vt:lpstr>
      <vt:lpstr>satudua</vt:lpstr>
      <vt:lpstr>satuduatiga</vt:lpstr>
      <vt:lpstr>satuenam</vt:lpstr>
      <vt:lpstr>satulebihdua</vt:lpstr>
      <vt:lpstr>satulima</vt:lpstr>
      <vt:lpstr>satutiga</vt:lpstr>
      <vt:lpstr>satutigalima</vt:lpstr>
      <vt:lpstr>satutujuh</vt:lpstr>
      <vt:lpstr>sayur</vt:lpstr>
      <vt:lpstr>sediasarkes</vt:lpstr>
      <vt:lpstr>sosialisasitik</vt:lpstr>
      <vt:lpstr>strip</vt:lpstr>
      <vt:lpstr>sudahbelum</vt:lpstr>
      <vt:lpstr>swastamasyarakat</vt:lpstr>
      <vt:lpstr>tamatpendidikan</vt:lpstr>
      <vt:lpstr>tambang</vt:lpstr>
      <vt:lpstr>tanggal</vt:lpstr>
      <vt:lpstr>tidakada</vt:lpstr>
      <vt:lpstr>tidakaktif</vt:lpstr>
      <vt:lpstr>tidakdiisi</vt:lpstr>
      <vt:lpstr>tidakperlu</vt:lpstr>
      <vt:lpstr>tiga</vt:lpstr>
      <vt:lpstr>tigalima</vt:lpstr>
      <vt:lpstr>titik</vt:lpstr>
      <vt:lpstr>tradisional</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 V14</cp:lastModifiedBy>
  <cp:lastPrinted>2025-04-09T09:53:24Z</cp:lastPrinted>
  <dcterms:created xsi:type="dcterms:W3CDTF">2017-09-05T02:45:55Z</dcterms:created>
  <dcterms:modified xsi:type="dcterms:W3CDTF">2025-04-24T06:24:51Z</dcterms:modified>
</cp:coreProperties>
</file>